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CHANNEL1" sheetId="1" r:id="rId1"/>
  </sheets>
  <definedNames>
    <definedName name="BETAR">'CHANNEL1'!$D$15</definedName>
    <definedName name="BETAZ">'CHANNEL1'!$D$16</definedName>
    <definedName name="Cp">'CHANNEL1'!$B$18</definedName>
    <definedName name="hfg">'CHANNEL1'!$B$20</definedName>
    <definedName name="HGAP">'CHANNEL1'!$B$14</definedName>
    <definedName name="HTCS">'CHANNEL1'!$B$16</definedName>
    <definedName name="KC">'CHANNEL1'!$B$15</definedName>
    <definedName name="KF">'CHANNEL1'!$B$13</definedName>
    <definedName name="LENGTH">'CHANNEL1'!$B$9</definedName>
    <definedName name="NUMCHANNELS">'CHANNEL1'!$D$14</definedName>
    <definedName name="NUMPINS">'CHANNEL1'!$D$13</definedName>
    <definedName name="Q">'CHANNEL1'!$B$8</definedName>
    <definedName name="QLIN">'CHANNEL1'!$D$12</definedName>
    <definedName name="Qlinear">'CHANNEL1'!$D$12</definedName>
    <definedName name="RF">'CHANNEL1'!$B$10</definedName>
    <definedName name="RPIN">'CHANNEL1'!$D$8</definedName>
    <definedName name="TCLAD">'CHANNEL1'!$B$12</definedName>
    <definedName name="TGAP">'CHANNEL1'!$B$11</definedName>
    <definedName name="Tpsat">'CHANNEL1'!$B$19</definedName>
    <definedName name="WCHANNEL">'CHANNEL1'!$D$9</definedName>
    <definedName name="Wp">'CHANNEL1'!$B$17</definedName>
    <definedName name="WPIN">'CHANNEL1'!$D$17</definedName>
  </definedNames>
  <calcPr fullCalcOnLoad="1"/>
</workbook>
</file>

<file path=xl/sharedStrings.xml><?xml version="1.0" encoding="utf-8"?>
<sst xmlns="http://schemas.openxmlformats.org/spreadsheetml/2006/main" count="50" uniqueCount="50">
  <si>
    <t>Channel temperature profiles</t>
  </si>
  <si>
    <t>Core Q</t>
  </si>
  <si>
    <t>Chan Q</t>
  </si>
  <si>
    <t>exit X</t>
  </si>
  <si>
    <t>Q  kW</t>
  </si>
  <si>
    <t>pin radius</t>
  </si>
  <si>
    <t>surface</t>
  </si>
  <si>
    <t>clad</t>
  </si>
  <si>
    <t>gap</t>
  </si>
  <si>
    <t>fuel</t>
  </si>
  <si>
    <t>Channel length, cm</t>
  </si>
  <si>
    <t>W channel</t>
  </si>
  <si>
    <t>z/H</t>
  </si>
  <si>
    <t>q' (z)</t>
  </si>
  <si>
    <t>T fluid</t>
  </si>
  <si>
    <t>quality, x</t>
  </si>
  <si>
    <t>T s - T fluid</t>
  </si>
  <si>
    <t>T clad - T s</t>
  </si>
  <si>
    <t>T rf - T clad</t>
  </si>
  <si>
    <t>T cl - T rf</t>
  </si>
  <si>
    <t>T cl</t>
  </si>
  <si>
    <t>delta quality</t>
  </si>
  <si>
    <t>Tsurface</t>
  </si>
  <si>
    <t>CHF</t>
  </si>
  <si>
    <t>fuel radius, rf, cm</t>
  </si>
  <si>
    <t>q''', W/cm^3</t>
  </si>
  <si>
    <t>gap thickness, cm</t>
  </si>
  <si>
    <t>q'', W/cm^2</t>
  </si>
  <si>
    <t>clad thickness, cm</t>
  </si>
  <si>
    <t>q', kW/cm</t>
  </si>
  <si>
    <t>kf,  kW/cm C</t>
  </si>
  <si>
    <t># pins</t>
  </si>
  <si>
    <t>hGap, kW/cm^2 C</t>
  </si>
  <si>
    <t># channels</t>
  </si>
  <si>
    <t>kc, kW/cm C</t>
  </si>
  <si>
    <t>radial aver /max</t>
  </si>
  <si>
    <t>htcs, kW/cm^2 C</t>
  </si>
  <si>
    <t>axial aver / max</t>
  </si>
  <si>
    <t>Wp</t>
  </si>
  <si>
    <t>W pin kg/s</t>
  </si>
  <si>
    <t>Cp</t>
  </si>
  <si>
    <t>Target X</t>
  </si>
  <si>
    <t>Tp sat</t>
  </si>
  <si>
    <t>error X</t>
  </si>
  <si>
    <t>hfg</t>
  </si>
  <si>
    <t>Critical heat flux</t>
  </si>
  <si>
    <t>or click on the link here --&gt;</t>
  </si>
  <si>
    <t>by Wm. J. Garland, 2004-07-17</t>
  </si>
  <si>
    <t>See any standard reactor text for the basic heat transfer equations</t>
  </si>
  <si>
    <t>or visit http://www.nuceng.ca/ep4d3/ep4d3home.htm and go to the chapter on Heat Transfer.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</si>
</sst>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4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4625"/>
          <c:w val="0.84575"/>
          <c:h val="0.7422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CHANNEL1!$G$9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CHANNEL1!$H$10:$H$110</c:f>
              <c:numCache/>
            </c:numRef>
          </c:yVal>
          <c:smooth val="1"/>
        </c:ser>
        <c:ser>
          <c:idx val="2"/>
          <c:order val="2"/>
          <c:tx>
            <c:strRef>
              <c:f>CHANNEL1!$H$9</c:f>
              <c:strCache>
                <c:ptCount val="1"/>
                <c:pt idx="0">
                  <c:v>T fluid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CHANNEL1!$P$10:$P$110</c:f>
              <c:numCache/>
            </c:numRef>
          </c:yVal>
          <c:smooth val="1"/>
        </c:ser>
        <c:axId val="6661615"/>
        <c:axId val="59954536"/>
      </c:scatterChart>
      <c:scatterChart>
        <c:scatterStyle val="lineMarker"/>
        <c:varyColors val="0"/>
        <c:ser>
          <c:idx val="0"/>
          <c:order val="0"/>
          <c:tx>
            <c:strRef>
              <c:f>CHANNEL1!$F$9</c:f>
              <c:strCache>
                <c:ptCount val="1"/>
                <c:pt idx="0">
                  <c:v>q' (z)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axId val="2719913"/>
        <c:axId val="24479218"/>
      </c:scatterChart>
      <c:valAx>
        <c:axId val="666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position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 val="autoZero"/>
        <c:crossBetween val="midCat"/>
        <c:dispUnits/>
      </c:valAx>
      <c:valAx>
        <c:axId val="599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linear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 val="autoZero"/>
        <c:crossBetween val="midCat"/>
        <c:dispUnits/>
      </c:valAx>
      <c:valAx>
        <c:axId val="2719913"/>
        <c:scaling>
          <c:orientation val="minMax"/>
        </c:scaling>
        <c:axPos val="b"/>
        <c:delete val="1"/>
        <c:majorTickMark val="out"/>
        <c:minorTickMark val="none"/>
        <c:tickLblPos val="none"/>
        <c:crossAx val="24479218"/>
        <c:crosses val="max"/>
        <c:crossBetween val="midCat"/>
        <c:dispUnits/>
      </c:valAx>
      <c:valAx>
        <c:axId val="244792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882"/>
          <c:w val="0.573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 vs Quality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09775"/>
          <c:w val="0.815"/>
          <c:h val="0.67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ser>
          <c:idx val="1"/>
          <c:order val="1"/>
          <c:tx>
            <c:v>CHF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CHANNEL1!$Q$10:$Q$110</c:f>
              <c:numCache/>
            </c:numRef>
          </c:yVal>
          <c:smooth val="1"/>
        </c:ser>
        <c:axId val="18986371"/>
        <c:axId val="36659612"/>
      </c:scatterChart>
      <c:val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quality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 val="autoZero"/>
        <c:crossBetween val="midCat"/>
        <c:dispUnits/>
      </c:val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84825"/>
          <c:w val="0.461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152400</xdr:rowOff>
    </xdr:from>
    <xdr:to>
      <xdr:col>3</xdr:col>
      <xdr:colOff>66675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8100" y="3457575"/>
        <a:ext cx="2809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37</xdr:row>
      <xdr:rowOff>142875</xdr:rowOff>
    </xdr:from>
    <xdr:to>
      <xdr:col>3</xdr:col>
      <xdr:colOff>66675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38100" y="6200775"/>
        <a:ext cx="28098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115" zoomScaleNormal="115" zoomScalePageLayoutView="0" workbookViewId="0" topLeftCell="A1">
      <selection activeCell="B3" sqref="B3"/>
    </sheetView>
  </sheetViews>
  <sheetFormatPr defaultColWidth="10.28125" defaultRowHeight="12.75"/>
  <cols>
    <col min="1" max="1" width="18.140625" style="0" customWidth="1"/>
    <col min="2" max="2" width="8.7109375" style="0" customWidth="1"/>
    <col min="3" max="3" width="14.8515625" style="0" customWidth="1"/>
    <col min="4" max="4" width="8.140625" style="0" customWidth="1"/>
    <col min="5" max="5" width="5.7109375" style="0" customWidth="1"/>
    <col min="6" max="6" width="8.140625" style="0" customWidth="1"/>
    <col min="7" max="7" width="1.28515625" style="0" customWidth="1"/>
    <col min="8" max="8" width="8.421875" style="0" customWidth="1"/>
    <col min="9" max="9" width="6.00390625" style="0" customWidth="1"/>
  </cols>
  <sheetData>
    <row r="1" spans="1:5" ht="18">
      <c r="A1" s="1" t="s">
        <v>0</v>
      </c>
      <c r="E1" t="s">
        <v>47</v>
      </c>
    </row>
    <row r="2" ht="12.75">
      <c r="E2" t="s">
        <v>48</v>
      </c>
    </row>
    <row r="3" ht="12.75">
      <c r="E3" t="s">
        <v>49</v>
      </c>
    </row>
    <row r="4" ht="12.75">
      <c r="E4" t="s">
        <v>46</v>
      </c>
    </row>
    <row r="7" spans="6:9" ht="12.75">
      <c r="F7" t="s">
        <v>1</v>
      </c>
      <c r="H7" t="s">
        <v>2</v>
      </c>
      <c r="I7" t="s">
        <v>3</v>
      </c>
    </row>
    <row r="8" spans="1:13" ht="12.75">
      <c r="A8" t="s">
        <v>4</v>
      </c>
      <c r="B8">
        <v>2064000</v>
      </c>
      <c r="C8" t="s">
        <v>5</v>
      </c>
      <c r="D8">
        <f>B10+B11+B12</f>
        <v>0.74</v>
      </c>
      <c r="F8">
        <f>H8*D14*D15</f>
        <v>2063830.2400118422</v>
      </c>
      <c r="H8">
        <f>SUM(F10:F110)*NUMPINS*(E11-E10)*LENGTH</f>
        <v>6389.567306538212</v>
      </c>
      <c r="I8">
        <f>I110</f>
        <v>0.04000002329831214</v>
      </c>
      <c r="J8" t="s">
        <v>6</v>
      </c>
      <c r="K8" t="s">
        <v>7</v>
      </c>
      <c r="L8" t="s">
        <v>8</v>
      </c>
      <c r="M8" t="s">
        <v>9</v>
      </c>
    </row>
    <row r="9" spans="1:17" ht="12.75">
      <c r="A9" t="s">
        <v>10</v>
      </c>
      <c r="B9">
        <f>20*0.3048*100</f>
        <v>609.6</v>
      </c>
      <c r="C9" t="s">
        <v>11</v>
      </c>
      <c r="D9">
        <f>+Wp/NUMCHANNELS/BETAR</f>
        <v>25.541795665634673</v>
      </c>
      <c r="E9" t="s">
        <v>12</v>
      </c>
      <c r="F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  <c r="M9" t="s">
        <v>19</v>
      </c>
      <c r="N9" t="s">
        <v>20</v>
      </c>
      <c r="O9" t="s">
        <v>21</v>
      </c>
      <c r="P9" t="s">
        <v>22</v>
      </c>
      <c r="Q9" t="s">
        <v>23</v>
      </c>
    </row>
    <row r="10" spans="1:16" ht="12.75">
      <c r="A10" t="s">
        <v>24</v>
      </c>
      <c r="B10">
        <f>0.25*2.54</f>
        <v>0.635</v>
      </c>
      <c r="C10" t="s">
        <v>25</v>
      </c>
      <c r="D10">
        <f>D12*PI()*B10*B10</f>
        <v>0.5637384908621558</v>
      </c>
      <c r="E10">
        <v>0</v>
      </c>
      <c r="F10">
        <f>QLIN*COS(PI()*(E10-0.5))</f>
        <v>2.7260830737388578E-17</v>
      </c>
      <c r="H10">
        <v>264.7335392741269</v>
      </c>
      <c r="I10">
        <v>0</v>
      </c>
      <c r="J10">
        <f>F10/2/PI()/HTCS/RPIN</f>
        <v>1.3029117010951565E-15</v>
      </c>
      <c r="K10">
        <f>F10/2/PI()/KC/(RF+TGAP)*(TGAP+TCLAD)</f>
        <v>6.4710664245443385E-15</v>
      </c>
      <c r="L10">
        <f>F10/2/PI()/HGAP/RF</f>
        <v>6.211447336645484E-15</v>
      </c>
      <c r="M10">
        <f>F10/4/PI()/KF</f>
        <v>1.0846739911617176E-13</v>
      </c>
      <c r="N10">
        <f aca="true" t="shared" si="0" ref="N10:N41">SUM(H10:M10)</f>
        <v>264.733539274127</v>
      </c>
      <c r="P10">
        <f aca="true" t="shared" si="1" ref="P10:P41">H10+J10</f>
        <v>264.7335392741269</v>
      </c>
    </row>
    <row r="11" spans="1:17" ht="12.75">
      <c r="A11" t="s">
        <v>26</v>
      </c>
      <c r="B11">
        <v>0.005</v>
      </c>
      <c r="C11" t="s">
        <v>27</v>
      </c>
      <c r="D11">
        <f>D12/2/PI()/B10</f>
        <v>0.11153900644342164</v>
      </c>
      <c r="E11">
        <v>0.01</v>
      </c>
      <c r="F11">
        <f aca="true" t="shared" si="2" ref="F11:F26">QLIN*COS(PI()*(E11-0.5))</f>
        <v>0.013978442908383987</v>
      </c>
      <c r="G11">
        <f>+H10+F11/WPIN/Cp*(E11-E10)*LENGTH</f>
        <v>264.7625838556263</v>
      </c>
      <c r="H11">
        <f>IF(G11&gt;Tpsat,Tpsat,G11)</f>
        <v>264.7625838556263</v>
      </c>
      <c r="I11">
        <f aca="true" t="shared" si="3" ref="I11:I42">I10+O11</f>
        <v>0</v>
      </c>
      <c r="J11">
        <f aca="true" t="shared" si="4" ref="J11:J26">F11/2/PI()/HTCS/RPIN</f>
        <v>0.6680895752544028</v>
      </c>
      <c r="K11">
        <f aca="true" t="shared" si="5" ref="K11:K26">F11/2/PI()/KC/(RF+TGAP)*(TGAP+TCLAD)</f>
        <v>3.3181465907344028</v>
      </c>
      <c r="L11">
        <f aca="true" t="shared" si="6" ref="L11:L26">F11/2/PI()/HGAP/RF</f>
        <v>3.1850225992801167</v>
      </c>
      <c r="M11">
        <f aca="true" t="shared" si="7" ref="M11:M26">F11/4/PI()/KF</f>
        <v>55.61845713992903</v>
      </c>
      <c r="N11">
        <f t="shared" si="0"/>
        <v>327.5522997608242</v>
      </c>
      <c r="O11">
        <f>IF(G11&gt;H11,F11*LENGTH*(E11-E10)/WPIN/hfg,0)</f>
        <v>0</v>
      </c>
      <c r="P11">
        <f t="shared" si="1"/>
        <v>265.4306734308807</v>
      </c>
      <c r="Q11">
        <f aca="true" t="shared" si="8" ref="Q11:Q42">$B$50*(1-$C$50*I11-$D$50*I11^2)</f>
        <v>0.6</v>
      </c>
    </row>
    <row r="12" spans="1:17" ht="12.75">
      <c r="A12" t="s">
        <v>28</v>
      </c>
      <c r="B12">
        <v>0.1</v>
      </c>
      <c r="C12" t="s">
        <v>29</v>
      </c>
      <c r="D12">
        <f>+Q/LENGTH/NUMCHANNELS/NUMPINS/BETAZ/BETAR</f>
        <v>0.4450208565038247</v>
      </c>
      <c r="E12">
        <v>0.02</v>
      </c>
      <c r="F12">
        <f t="shared" si="2"/>
        <v>0.027943090781255238</v>
      </c>
      <c r="G12">
        <f aca="true" t="shared" si="9" ref="G12:G27">+H11+F12/WPIN/Cp*(E12-E11)*LENGTH</f>
        <v>264.8206443551298</v>
      </c>
      <c r="H12">
        <f aca="true" t="shared" si="10" ref="H12:H27">IF(G12&gt;Tpsat,Tpsat,G12)</f>
        <v>264.8206443551298</v>
      </c>
      <c r="I12">
        <f t="shared" si="3"/>
        <v>0</v>
      </c>
      <c r="J12">
        <f t="shared" si="4"/>
        <v>1.3355198267574604</v>
      </c>
      <c r="K12">
        <f t="shared" si="5"/>
        <v>6.633018571388438</v>
      </c>
      <c r="L12">
        <f t="shared" si="6"/>
        <v>6.366901965787176</v>
      </c>
      <c r="M12">
        <f t="shared" si="7"/>
        <v>111.18202557755856</v>
      </c>
      <c r="N12">
        <f t="shared" si="0"/>
        <v>390.3381102966214</v>
      </c>
      <c r="O12">
        <f aca="true" t="shared" si="11" ref="O12:O27">IF(G12&gt;H12,F12*LENGTH*(E12-E11)/WPIN/hfg,0)</f>
        <v>0</v>
      </c>
      <c r="P12">
        <f t="shared" si="1"/>
        <v>266.1561641818872</v>
      </c>
      <c r="Q12">
        <f t="shared" si="8"/>
        <v>0.6</v>
      </c>
    </row>
    <row r="13" spans="1:17" ht="12.75">
      <c r="A13" t="s">
        <v>30</v>
      </c>
      <c r="B13">
        <f>0.02/1000</f>
        <v>2E-05</v>
      </c>
      <c r="C13" t="s">
        <v>31</v>
      </c>
      <c r="D13">
        <v>37</v>
      </c>
      <c r="E13">
        <v>0.03</v>
      </c>
      <c r="F13">
        <f t="shared" si="2"/>
        <v>0.04188016219713562</v>
      </c>
      <c r="G13">
        <f t="shared" si="9"/>
        <v>264.90766347393406</v>
      </c>
      <c r="H13">
        <f t="shared" si="10"/>
        <v>264.90766347393406</v>
      </c>
      <c r="I13">
        <f t="shared" si="3"/>
        <v>0</v>
      </c>
      <c r="J13">
        <f t="shared" si="4"/>
        <v>2.0016320814307704</v>
      </c>
      <c r="K13">
        <f t="shared" si="5"/>
        <v>9.941344563526547</v>
      </c>
      <c r="L13">
        <f t="shared" si="6"/>
        <v>9.542497968739392</v>
      </c>
      <c r="M13">
        <f t="shared" si="7"/>
        <v>166.63587077911163</v>
      </c>
      <c r="N13">
        <f t="shared" si="0"/>
        <v>453.0290088667424</v>
      </c>
      <c r="O13">
        <f t="shared" si="11"/>
        <v>0</v>
      </c>
      <c r="P13">
        <f t="shared" si="1"/>
        <v>266.90929555536485</v>
      </c>
      <c r="Q13">
        <f t="shared" si="8"/>
        <v>0.6</v>
      </c>
    </row>
    <row r="14" spans="1:17" ht="12.75">
      <c r="A14" t="s">
        <v>32</v>
      </c>
      <c r="B14">
        <f>1.1/1000</f>
        <v>0.0011</v>
      </c>
      <c r="C14" t="s">
        <v>33</v>
      </c>
      <c r="D14">
        <v>380</v>
      </c>
      <c r="E14">
        <v>0.04</v>
      </c>
      <c r="F14">
        <f t="shared" si="2"/>
        <v>0.05577590294918059</v>
      </c>
      <c r="G14">
        <f t="shared" si="9"/>
        <v>265.0235553346749</v>
      </c>
      <c r="H14">
        <f t="shared" si="10"/>
        <v>265.0235553346749</v>
      </c>
      <c r="I14">
        <f t="shared" si="3"/>
        <v>0</v>
      </c>
      <c r="J14">
        <f t="shared" si="4"/>
        <v>2.665768966899674</v>
      </c>
      <c r="K14">
        <f t="shared" si="5"/>
        <v>13.239859648813509</v>
      </c>
      <c r="L14">
        <f t="shared" si="6"/>
        <v>12.708676678276182</v>
      </c>
      <c r="M14">
        <f t="shared" si="7"/>
        <v>221.92526649439782</v>
      </c>
      <c r="N14">
        <f t="shared" si="0"/>
        <v>515.563127123062</v>
      </c>
      <c r="O14">
        <f t="shared" si="11"/>
        <v>0</v>
      </c>
      <c r="P14">
        <f t="shared" si="1"/>
        <v>267.6893243015746</v>
      </c>
      <c r="Q14">
        <f t="shared" si="8"/>
        <v>0.6</v>
      </c>
    </row>
    <row r="15" spans="1:17" ht="12.75">
      <c r="A15" t="s">
        <v>34</v>
      </c>
      <c r="B15">
        <f>0.11/1000</f>
        <v>0.00011</v>
      </c>
      <c r="C15" t="s">
        <v>35</v>
      </c>
      <c r="D15">
        <v>0.85</v>
      </c>
      <c r="E15">
        <v>0.05</v>
      </c>
      <c r="F15">
        <f t="shared" si="2"/>
        <v>0.0696165996189212</v>
      </c>
      <c r="G15">
        <f t="shared" si="9"/>
        <v>265.1682055660774</v>
      </c>
      <c r="H15">
        <f t="shared" si="10"/>
        <v>265.1682055660774</v>
      </c>
      <c r="I15">
        <f t="shared" si="3"/>
        <v>0</v>
      </c>
      <c r="J15">
        <f t="shared" si="4"/>
        <v>3.3272750602404404</v>
      </c>
      <c r="K15">
        <f t="shared" si="5"/>
        <v>16.525308591094742</v>
      </c>
      <c r="L15">
        <f t="shared" si="6"/>
        <v>15.862313458268668</v>
      </c>
      <c r="M15">
        <f t="shared" si="7"/>
        <v>276.9956487650166</v>
      </c>
      <c r="N15">
        <f t="shared" si="0"/>
        <v>577.8787514406979</v>
      </c>
      <c r="O15">
        <f t="shared" si="11"/>
        <v>0</v>
      </c>
      <c r="P15">
        <f t="shared" si="1"/>
        <v>268.4954806263178</v>
      </c>
      <c r="Q15">
        <f t="shared" si="8"/>
        <v>0.6</v>
      </c>
    </row>
    <row r="16" spans="1:17" ht="12.75">
      <c r="A16" t="s">
        <v>36</v>
      </c>
      <c r="B16">
        <f>4.5/1000</f>
        <v>0.0045</v>
      </c>
      <c r="C16" t="s">
        <v>37</v>
      </c>
      <c r="D16">
        <f>2/PI()</f>
        <v>0.6366197723675814</v>
      </c>
      <c r="E16">
        <v>0.06</v>
      </c>
      <c r="F16">
        <f t="shared" si="2"/>
        <v>0.08338859310975184</v>
      </c>
      <c r="G16">
        <f t="shared" si="9"/>
        <v>265.3414714158271</v>
      </c>
      <c r="H16">
        <f t="shared" si="10"/>
        <v>265.3414714158271</v>
      </c>
      <c r="I16">
        <f t="shared" si="3"/>
        <v>0</v>
      </c>
      <c r="J16">
        <f t="shared" si="4"/>
        <v>3.985497534803535</v>
      </c>
      <c r="K16">
        <f t="shared" si="5"/>
        <v>19.79444904892125</v>
      </c>
      <c r="L16">
        <f t="shared" si="6"/>
        <v>19.000296049958152</v>
      </c>
      <c r="M16">
        <f t="shared" si="7"/>
        <v>331.7926697723942</v>
      </c>
      <c r="N16">
        <f t="shared" si="0"/>
        <v>639.9143838219043</v>
      </c>
      <c r="O16">
        <f t="shared" si="11"/>
        <v>0</v>
      </c>
      <c r="P16">
        <f t="shared" si="1"/>
        <v>269.3269689506306</v>
      </c>
      <c r="Q16">
        <f t="shared" si="8"/>
        <v>0.6</v>
      </c>
    </row>
    <row r="17" spans="1:17" ht="12.75">
      <c r="A17" t="s">
        <v>38</v>
      </c>
      <c r="B17">
        <v>8250</v>
      </c>
      <c r="C17" t="s">
        <v>39</v>
      </c>
      <c r="D17">
        <f>+WCHANNEL/NUMPINS</f>
        <v>0.6903188017739101</v>
      </c>
      <c r="E17">
        <v>0.07</v>
      </c>
      <c r="F17">
        <f t="shared" si="2"/>
        <v>0.09707829212681003</v>
      </c>
      <c r="G17">
        <f t="shared" si="9"/>
        <v>265.54318189144885</v>
      </c>
      <c r="H17">
        <f t="shared" si="10"/>
        <v>265.54318189144885</v>
      </c>
      <c r="I17">
        <f t="shared" si="3"/>
        <v>0</v>
      </c>
      <c r="J17">
        <f t="shared" si="4"/>
        <v>4.639786804474728</v>
      </c>
      <c r="K17">
        <f t="shared" si="5"/>
        <v>23.04405477534927</v>
      </c>
      <c r="L17">
        <f t="shared" si="6"/>
        <v>22.11952764337987</v>
      </c>
      <c r="M17">
        <f t="shared" si="7"/>
        <v>386.26225147252103</v>
      </c>
      <c r="N17">
        <f t="shared" si="0"/>
        <v>701.6088025871737</v>
      </c>
      <c r="O17">
        <f t="shared" si="11"/>
        <v>0</v>
      </c>
      <c r="P17">
        <f t="shared" si="1"/>
        <v>270.1829686959236</v>
      </c>
      <c r="Q17">
        <f t="shared" si="8"/>
        <v>0.6</v>
      </c>
    </row>
    <row r="18" spans="1:17" ht="12.75">
      <c r="A18" t="s">
        <v>40</v>
      </c>
      <c r="B18">
        <v>4.25</v>
      </c>
      <c r="C18" t="s">
        <v>41</v>
      </c>
      <c r="D18">
        <v>0.04</v>
      </c>
      <c r="E18">
        <v>0.08</v>
      </c>
      <c r="F18">
        <f t="shared" si="2"/>
        <v>0.11067218658994328</v>
      </c>
      <c r="G18">
        <f t="shared" si="9"/>
        <v>265.77313792905613</v>
      </c>
      <c r="H18">
        <f t="shared" si="10"/>
        <v>265.77313792905613</v>
      </c>
      <c r="I18">
        <f t="shared" si="3"/>
        <v>0</v>
      </c>
      <c r="J18">
        <f t="shared" si="4"/>
        <v>5.289497164738153</v>
      </c>
      <c r="K18">
        <f t="shared" si="5"/>
        <v>26.270918801856464</v>
      </c>
      <c r="L18">
        <f t="shared" si="6"/>
        <v>25.21692993354051</v>
      </c>
      <c r="M18">
        <f t="shared" si="7"/>
        <v>440.35063896445115</v>
      </c>
      <c r="N18">
        <f t="shared" si="0"/>
        <v>762.9011227936423</v>
      </c>
      <c r="O18">
        <f t="shared" si="11"/>
        <v>0</v>
      </c>
      <c r="P18">
        <f t="shared" si="1"/>
        <v>271.0626350937943</v>
      </c>
      <c r="Q18">
        <f t="shared" si="8"/>
        <v>0.6</v>
      </c>
    </row>
    <row r="19" spans="1:17" ht="12.75">
      <c r="A19" t="s">
        <v>42</v>
      </c>
      <c r="B19">
        <v>311</v>
      </c>
      <c r="C19" t="s">
        <v>43</v>
      </c>
      <c r="D19">
        <f>+D18-I8</f>
        <v>-2.329831214065159E-08</v>
      </c>
      <c r="E19">
        <v>0.09</v>
      </c>
      <c r="F19">
        <f t="shared" si="2"/>
        <v>0.1241568609665272</v>
      </c>
      <c r="G19">
        <f t="shared" si="9"/>
        <v>266.03111258980266</v>
      </c>
      <c r="H19">
        <f t="shared" si="10"/>
        <v>266.03111258980266</v>
      </c>
      <c r="I19">
        <f t="shared" si="3"/>
        <v>0</v>
      </c>
      <c r="J19">
        <f t="shared" si="4"/>
        <v>5.93398742990871</v>
      </c>
      <c r="K19">
        <f t="shared" si="5"/>
        <v>29.47185660323267</v>
      </c>
      <c r="L19">
        <f t="shared" si="6"/>
        <v>28.28944615833357</v>
      </c>
      <c r="M19">
        <f t="shared" si="7"/>
        <v>494.00445353989994</v>
      </c>
      <c r="N19">
        <f t="shared" si="0"/>
        <v>823.7308563211775</v>
      </c>
      <c r="O19">
        <f t="shared" si="11"/>
        <v>0</v>
      </c>
      <c r="P19">
        <f t="shared" si="1"/>
        <v>271.9651000197114</v>
      </c>
      <c r="Q19">
        <f t="shared" si="8"/>
        <v>0.6</v>
      </c>
    </row>
    <row r="20" spans="1:17" ht="12.75">
      <c r="A20" t="s">
        <v>44</v>
      </c>
      <c r="B20">
        <v>1410</v>
      </c>
      <c r="E20">
        <v>0.1</v>
      </c>
      <c r="F20">
        <f t="shared" si="2"/>
        <v>0.1375190075109767</v>
      </c>
      <c r="G20">
        <f t="shared" si="9"/>
        <v>266.31685128384396</v>
      </c>
      <c r="H20">
        <f t="shared" si="10"/>
        <v>266.31685128384396</v>
      </c>
      <c r="I20">
        <f t="shared" si="3"/>
        <v>0</v>
      </c>
      <c r="J20">
        <f t="shared" si="4"/>
        <v>6.5726215659049325</v>
      </c>
      <c r="K20">
        <f t="shared" si="5"/>
        <v>32.64370924032187</v>
      </c>
      <c r="L20">
        <f t="shared" si="6"/>
        <v>31.334044115194594</v>
      </c>
      <c r="M20">
        <f t="shared" si="7"/>
        <v>547.1707453615855</v>
      </c>
      <c r="N20">
        <f t="shared" si="0"/>
        <v>884.037971566851</v>
      </c>
      <c r="O20">
        <f t="shared" si="11"/>
        <v>0</v>
      </c>
      <c r="P20">
        <f t="shared" si="1"/>
        <v>272.88947284974887</v>
      </c>
      <c r="Q20">
        <f t="shared" si="8"/>
        <v>0.6</v>
      </c>
    </row>
    <row r="21" spans="5:17" ht="12.75">
      <c r="E21">
        <v>0.11</v>
      </c>
      <c r="F21">
        <f t="shared" si="2"/>
        <v>0.15074543939788387</v>
      </c>
      <c r="G21">
        <f t="shared" si="9"/>
        <v>266.63007202158667</v>
      </c>
      <c r="H21">
        <f t="shared" si="10"/>
        <v>266.63007202158667</v>
      </c>
      <c r="I21">
        <f t="shared" si="3"/>
        <v>0</v>
      </c>
      <c r="J21">
        <f t="shared" si="4"/>
        <v>7.204769317937829</v>
      </c>
      <c r="K21">
        <f t="shared" si="5"/>
        <v>35.78334647751366</v>
      </c>
      <c r="L21">
        <f t="shared" si="6"/>
        <v>34.34771915351892</v>
      </c>
      <c r="M21">
        <f t="shared" si="7"/>
        <v>599.7970457183242</v>
      </c>
      <c r="N21">
        <f t="shared" si="0"/>
        <v>943.7629526888812</v>
      </c>
      <c r="O21">
        <f t="shared" si="11"/>
        <v>0</v>
      </c>
      <c r="P21">
        <f t="shared" si="1"/>
        <v>273.8348413395245</v>
      </c>
      <c r="Q21">
        <f t="shared" si="8"/>
        <v>0.6</v>
      </c>
    </row>
    <row r="22" spans="5:17" ht="12.75">
      <c r="E22">
        <v>0.12</v>
      </c>
      <c r="F22">
        <f t="shared" si="2"/>
        <v>0.1638231037358228</v>
      </c>
      <c r="G22">
        <f t="shared" si="9"/>
        <v>266.97046569197823</v>
      </c>
      <c r="H22">
        <f t="shared" si="10"/>
        <v>266.97046569197823</v>
      </c>
      <c r="I22">
        <f t="shared" si="3"/>
        <v>0</v>
      </c>
      <c r="J22">
        <f t="shared" si="4"/>
        <v>7.82980683249626</v>
      </c>
      <c r="K22">
        <f t="shared" si="5"/>
        <v>38.88766987190791</v>
      </c>
      <c r="L22">
        <f t="shared" si="6"/>
        <v>37.327497139889104</v>
      </c>
      <c r="M22">
        <f t="shared" si="7"/>
        <v>651.8314188053135</v>
      </c>
      <c r="N22">
        <f t="shared" si="0"/>
        <v>1002.8468583415851</v>
      </c>
      <c r="O22">
        <f t="shared" si="11"/>
        <v>0</v>
      </c>
      <c r="P22">
        <f t="shared" si="1"/>
        <v>274.8002725244745</v>
      </c>
      <c r="Q22">
        <f t="shared" si="8"/>
        <v>0.6</v>
      </c>
    </row>
    <row r="23" spans="5:17" ht="12.75">
      <c r="E23">
        <v>0.13</v>
      </c>
      <c r="F23">
        <f t="shared" si="2"/>
        <v>0.17673909444897737</v>
      </c>
      <c r="G23">
        <f t="shared" si="9"/>
        <v>267.3376963675622</v>
      </c>
      <c r="H23">
        <f t="shared" si="10"/>
        <v>267.3376963675622</v>
      </c>
      <c r="I23">
        <f t="shared" si="3"/>
        <v>0</v>
      </c>
      <c r="J23">
        <f t="shared" si="4"/>
        <v>8.447117273015047</v>
      </c>
      <c r="K23">
        <f t="shared" si="5"/>
        <v>41.95361583110386</v>
      </c>
      <c r="L23">
        <f t="shared" si="6"/>
        <v>40.270437393185546</v>
      </c>
      <c r="M23">
        <f t="shared" si="7"/>
        <v>703.2225129785027</v>
      </c>
      <c r="N23">
        <f t="shared" si="0"/>
        <v>1061.2313798433693</v>
      </c>
      <c r="O23">
        <f t="shared" si="11"/>
        <v>0</v>
      </c>
      <c r="P23">
        <f t="shared" si="1"/>
        <v>275.7848136405773</v>
      </c>
      <c r="Q23">
        <f t="shared" si="8"/>
        <v>0.6</v>
      </c>
    </row>
    <row r="24" spans="5:17" ht="12.75">
      <c r="E24">
        <v>0.14</v>
      </c>
      <c r="F24">
        <f t="shared" si="2"/>
        <v>0.18948066501388036</v>
      </c>
      <c r="G24">
        <f t="shared" si="9"/>
        <v>267.7314016359981</v>
      </c>
      <c r="H24">
        <f t="shared" si="10"/>
        <v>267.7314016359981</v>
      </c>
      <c r="I24">
        <f t="shared" si="3"/>
        <v>0</v>
      </c>
      <c r="J24">
        <f t="shared" si="4"/>
        <v>9.056091428618203</v>
      </c>
      <c r="K24">
        <f t="shared" si="5"/>
        <v>44.97815863659594</v>
      </c>
      <c r="L24">
        <f t="shared" si="6"/>
        <v>43.17363558668377</v>
      </c>
      <c r="M24">
        <f t="shared" si="7"/>
        <v>753.9196114324653</v>
      </c>
      <c r="N24">
        <f t="shared" si="0"/>
        <v>1118.8588987203614</v>
      </c>
      <c r="O24">
        <f t="shared" si="11"/>
        <v>0</v>
      </c>
      <c r="P24">
        <f t="shared" si="1"/>
        <v>276.78749306461634</v>
      </c>
      <c r="Q24">
        <f t="shared" si="8"/>
        <v>0.6</v>
      </c>
    </row>
    <row r="25" spans="5:17" ht="12.75">
      <c r="E25">
        <v>0.15</v>
      </c>
      <c r="F25">
        <f t="shared" si="2"/>
        <v>0.20203524103869253</v>
      </c>
      <c r="G25">
        <f t="shared" si="9"/>
        <v>268.15119295771854</v>
      </c>
      <c r="H25">
        <f t="shared" si="10"/>
        <v>268.15119295771854</v>
      </c>
      <c r="I25">
        <f t="shared" si="3"/>
        <v>0</v>
      </c>
      <c r="J25">
        <f t="shared" si="4"/>
        <v>9.656128315336476</v>
      </c>
      <c r="K25">
        <f t="shared" si="5"/>
        <v>47.9583134297926</v>
      </c>
      <c r="L25">
        <f t="shared" si="6"/>
        <v>46.034226614274104</v>
      </c>
      <c r="M25">
        <f t="shared" si="7"/>
        <v>803.8726822517615</v>
      </c>
      <c r="N25">
        <f t="shared" si="0"/>
        <v>1175.6725435688832</v>
      </c>
      <c r="O25">
        <f t="shared" si="11"/>
        <v>0</v>
      </c>
      <c r="P25">
        <f t="shared" si="1"/>
        <v>277.80732127305504</v>
      </c>
      <c r="Q25">
        <f t="shared" si="8"/>
        <v>0.6</v>
      </c>
    </row>
    <row r="26" spans="5:17" ht="12.75">
      <c r="E26">
        <v>0.16</v>
      </c>
      <c r="F26">
        <f t="shared" si="2"/>
        <v>0.2143904326726098</v>
      </c>
      <c r="G26">
        <f t="shared" si="9"/>
        <v>268.596656049371</v>
      </c>
      <c r="H26">
        <f t="shared" si="10"/>
        <v>268.596656049371</v>
      </c>
      <c r="I26">
        <f t="shared" si="3"/>
        <v>0</v>
      </c>
      <c r="J26">
        <f t="shared" si="4"/>
        <v>10.246635769206016</v>
      </c>
      <c r="K26">
        <f t="shared" si="5"/>
        <v>50.89113915771142</v>
      </c>
      <c r="L26">
        <f t="shared" si="6"/>
        <v>48.849387417975706</v>
      </c>
      <c r="M26">
        <f t="shared" si="7"/>
        <v>853.0324277864007</v>
      </c>
      <c r="N26">
        <f t="shared" si="0"/>
        <v>1231.6162461806648</v>
      </c>
      <c r="O26">
        <f t="shared" si="11"/>
        <v>0</v>
      </c>
      <c r="P26">
        <f t="shared" si="1"/>
        <v>278.84329181857703</v>
      </c>
      <c r="Q26">
        <f t="shared" si="8"/>
        <v>0.6</v>
      </c>
    </row>
    <row r="27" spans="5:17" ht="12.75">
      <c r="E27">
        <v>0.17</v>
      </c>
      <c r="F27">
        <f aca="true" t="shared" si="12" ref="F27:F42">QLIN*COS(PI()*(E27-0.5))</f>
        <v>0.22653404683314982</v>
      </c>
      <c r="G27">
        <f t="shared" si="9"/>
        <v>269.0673512926655</v>
      </c>
      <c r="H27">
        <f t="shared" si="10"/>
        <v>269.0673512926655</v>
      </c>
      <c r="I27">
        <f t="shared" si="3"/>
        <v>0</v>
      </c>
      <c r="J27">
        <f aca="true" t="shared" si="13" ref="J27:J42">F27/2/PI()/HTCS/RPIN</f>
        <v>10.827031030662678</v>
      </c>
      <c r="K27">
        <f aca="true" t="shared" si="14" ref="K27:K42">F27/2/PI()/KC/(RF+TGAP)*(TGAP+TCLAD)</f>
        <v>53.77374147544326</v>
      </c>
      <c r="L27">
        <f aca="true" t="shared" si="15" ref="L27:L42">F27/2/PI()/HGAP/RF</f>
        <v>51.61633977395377</v>
      </c>
      <c r="M27">
        <f aca="true" t="shared" si="16" ref="M27:M42">F27/4/PI()/KF</f>
        <v>901.3503333026678</v>
      </c>
      <c r="N27">
        <f t="shared" si="0"/>
        <v>1286.634796875393</v>
      </c>
      <c r="O27">
        <f t="shared" si="11"/>
        <v>0</v>
      </c>
      <c r="P27">
        <f t="shared" si="1"/>
        <v>279.89438232332816</v>
      </c>
      <c r="Q27">
        <f t="shared" si="8"/>
        <v>0.6</v>
      </c>
    </row>
    <row r="28" spans="5:17" ht="12.75">
      <c r="E28">
        <v>0.18</v>
      </c>
      <c r="F28">
        <f t="shared" si="12"/>
        <v>0.23845409923925234</v>
      </c>
      <c r="G28">
        <f aca="true" t="shared" si="17" ref="G28:G43">+H27+F28/WPIN/Cp*(E28-E27)*LENGTH</f>
        <v>269.5628141682246</v>
      </c>
      <c r="H28">
        <f aca="true" t="shared" si="18" ref="H28:H43">IF(G28&gt;Tpsat,Tpsat,G28)</f>
        <v>269.5628141682246</v>
      </c>
      <c r="I28">
        <f t="shared" si="3"/>
        <v>0</v>
      </c>
      <c r="J28">
        <f t="shared" si="13"/>
        <v>11.396741319655368</v>
      </c>
      <c r="K28">
        <f t="shared" si="14"/>
        <v>56.6032756025213</v>
      </c>
      <c r="L28">
        <f t="shared" si="15"/>
        <v>54.33235303429115</v>
      </c>
      <c r="M28">
        <f t="shared" si="16"/>
        <v>948.7787148613093</v>
      </c>
      <c r="N28">
        <f t="shared" si="0"/>
        <v>1340.6738989860016</v>
      </c>
      <c r="O28">
        <f aca="true" t="shared" si="19" ref="O28:O43">IF(G28&gt;H28,F28*LENGTH*(E28-E27)/WPIN/hfg,0)</f>
        <v>0</v>
      </c>
      <c r="P28">
        <f t="shared" si="1"/>
        <v>280.9595554878799</v>
      </c>
      <c r="Q28">
        <f t="shared" si="8"/>
        <v>0.6</v>
      </c>
    </row>
    <row r="29" spans="5:17" ht="12.75">
      <c r="E29">
        <v>0.19</v>
      </c>
      <c r="F29">
        <f t="shared" si="12"/>
        <v>0.2501388262383181</v>
      </c>
      <c r="G29">
        <f t="shared" si="17"/>
        <v>270.08255571400804</v>
      </c>
      <c r="H29">
        <f t="shared" si="18"/>
        <v>270.08255571400804</v>
      </c>
      <c r="I29">
        <f t="shared" si="3"/>
        <v>0</v>
      </c>
      <c r="J29">
        <f t="shared" si="13"/>
        <v>11.95520440091082</v>
      </c>
      <c r="K29">
        <f t="shared" si="14"/>
        <v>59.376949130375955</v>
      </c>
      <c r="L29">
        <f t="shared" si="15"/>
        <v>56.99474682180819</v>
      </c>
      <c r="M29">
        <f t="shared" si="16"/>
        <v>995.2707663758254</v>
      </c>
      <c r="N29">
        <f t="shared" si="0"/>
        <v>1393.6802224429284</v>
      </c>
      <c r="O29">
        <f t="shared" si="19"/>
        <v>0</v>
      </c>
      <c r="P29">
        <f t="shared" si="1"/>
        <v>282.03776011491885</v>
      </c>
      <c r="Q29">
        <f t="shared" si="8"/>
        <v>0.6</v>
      </c>
    </row>
    <row r="30" spans="5:17" ht="12.75">
      <c r="E30">
        <v>0.2</v>
      </c>
      <c r="F30">
        <f t="shared" si="12"/>
        <v>0.2615766964155131</v>
      </c>
      <c r="G30">
        <f t="shared" si="17"/>
        <v>270.62606300785933</v>
      </c>
      <c r="H30">
        <f t="shared" si="18"/>
        <v>270.62606300785933</v>
      </c>
      <c r="I30">
        <f t="shared" si="3"/>
        <v>0</v>
      </c>
      <c r="J30">
        <f t="shared" si="13"/>
        <v>12.501869138791886</v>
      </c>
      <c r="K30">
        <f t="shared" si="14"/>
        <v>62.092024778104864</v>
      </c>
      <c r="L30">
        <f t="shared" si="15"/>
        <v>59.60089367527125</v>
      </c>
      <c r="M30">
        <f t="shared" si="16"/>
        <v>1040.7806058044243</v>
      </c>
      <c r="N30">
        <f t="shared" si="0"/>
        <v>1445.6014564044517</v>
      </c>
      <c r="O30">
        <f t="shared" si="19"/>
        <v>0</v>
      </c>
      <c r="P30">
        <f t="shared" si="1"/>
        <v>283.12793214665123</v>
      </c>
      <c r="Q30">
        <f t="shared" si="8"/>
        <v>0.6</v>
      </c>
    </row>
    <row r="31" spans="5:17" ht="12.75">
      <c r="E31">
        <v>0.21</v>
      </c>
      <c r="F31">
        <f t="shared" si="12"/>
        <v>0.2727564219738832</v>
      </c>
      <c r="G31">
        <f t="shared" si="17"/>
        <v>271.1927996736979</v>
      </c>
      <c r="H31">
        <f t="shared" si="18"/>
        <v>271.1927996736979</v>
      </c>
      <c r="I31">
        <f t="shared" si="3"/>
        <v>0</v>
      </c>
      <c r="J31">
        <f t="shared" si="13"/>
        <v>13.036196041201917</v>
      </c>
      <c r="K31">
        <f t="shared" si="14"/>
        <v>64.74582309383877</v>
      </c>
      <c r="L31">
        <f t="shared" si="15"/>
        <v>62.148221642379916</v>
      </c>
      <c r="M31">
        <f t="shared" si="16"/>
        <v>1085.2633204300594</v>
      </c>
      <c r="N31">
        <f t="shared" si="0"/>
        <v>1496.3863608811778</v>
      </c>
      <c r="O31">
        <f t="shared" si="19"/>
        <v>0</v>
      </c>
      <c r="P31">
        <f t="shared" si="1"/>
        <v>284.2289957148998</v>
      </c>
      <c r="Q31">
        <f t="shared" si="8"/>
        <v>0.6</v>
      </c>
    </row>
    <row r="32" spans="5:17" ht="12.75">
      <c r="E32">
        <v>0.22</v>
      </c>
      <c r="F32">
        <f t="shared" si="12"/>
        <v>0.28366696987404705</v>
      </c>
      <c r="G32">
        <f t="shared" si="17"/>
        <v>271.78220641085744</v>
      </c>
      <c r="H32">
        <f t="shared" si="18"/>
        <v>271.78220641085744</v>
      </c>
      <c r="I32">
        <f t="shared" si="3"/>
        <v>0</v>
      </c>
      <c r="J32">
        <f t="shared" si="13"/>
        <v>13.557657791998304</v>
      </c>
      <c r="K32">
        <f t="shared" si="14"/>
        <v>67.33572509903703</v>
      </c>
      <c r="L32">
        <f t="shared" si="15"/>
        <v>64.6342168179733</v>
      </c>
      <c r="M32">
        <f t="shared" si="16"/>
        <v>1128.6750111838585</v>
      </c>
      <c r="N32">
        <f t="shared" si="0"/>
        <v>1545.9848173037244</v>
      </c>
      <c r="O32">
        <f t="shared" si="19"/>
        <v>0</v>
      </c>
      <c r="P32">
        <f t="shared" si="1"/>
        <v>285.3398642028557</v>
      </c>
      <c r="Q32">
        <f t="shared" si="8"/>
        <v>0.6</v>
      </c>
    </row>
    <row r="33" spans="5:17" ht="12.75">
      <c r="E33">
        <v>0.23</v>
      </c>
      <c r="F33">
        <f t="shared" si="12"/>
        <v>0.29429757272247353</v>
      </c>
      <c r="G33">
        <f t="shared" si="17"/>
        <v>272.39370154604836</v>
      </c>
      <c r="H33">
        <f t="shared" si="18"/>
        <v>272.39370154604836</v>
      </c>
      <c r="I33">
        <f t="shared" si="3"/>
        <v>0</v>
      </c>
      <c r="J33">
        <f t="shared" si="13"/>
        <v>14.065739771389854</v>
      </c>
      <c r="K33">
        <f t="shared" si="14"/>
        <v>69.85917487310314</v>
      </c>
      <c r="L33">
        <f t="shared" si="15"/>
        <v>67.0564258249509</v>
      </c>
      <c r="M33">
        <f t="shared" si="16"/>
        <v>1170.9728359682051</v>
      </c>
      <c r="N33">
        <f t="shared" si="0"/>
        <v>1594.3478779836973</v>
      </c>
      <c r="O33">
        <f t="shared" si="19"/>
        <v>0</v>
      </c>
      <c r="P33">
        <f t="shared" si="1"/>
        <v>286.45944131743823</v>
      </c>
      <c r="Q33">
        <f t="shared" si="8"/>
        <v>0.6</v>
      </c>
    </row>
    <row r="34" spans="5:17" ht="12.75">
      <c r="E34">
        <v>0.24</v>
      </c>
      <c r="F34">
        <f t="shared" si="12"/>
        <v>0.3046377393975994</v>
      </c>
      <c r="G34">
        <f t="shared" si="17"/>
        <v>273.0266816073989</v>
      </c>
      <c r="H34">
        <f t="shared" si="18"/>
        <v>273.0266816073989</v>
      </c>
      <c r="I34">
        <f t="shared" si="3"/>
        <v>0</v>
      </c>
      <c r="J34">
        <f t="shared" si="13"/>
        <v>14.55994056380438</v>
      </c>
      <c r="K34">
        <f t="shared" si="14"/>
        <v>72.3136820757699</v>
      </c>
      <c r="L34">
        <f t="shared" si="15"/>
        <v>69.41245823545967</v>
      </c>
      <c r="M34">
        <f t="shared" si="16"/>
        <v>1212.1150519367145</v>
      </c>
      <c r="N34">
        <f t="shared" si="0"/>
        <v>1641.4278144191474</v>
      </c>
      <c r="O34">
        <f t="shared" si="19"/>
        <v>0</v>
      </c>
      <c r="P34">
        <f t="shared" si="1"/>
        <v>287.5866221712033</v>
      </c>
      <c r="Q34">
        <f t="shared" si="8"/>
        <v>0.6</v>
      </c>
    </row>
    <row r="35" spans="5:17" ht="12.75">
      <c r="E35">
        <v>0.25</v>
      </c>
      <c r="F35">
        <f t="shared" si="12"/>
        <v>0.3146772654033</v>
      </c>
      <c r="G35">
        <f t="shared" si="17"/>
        <v>273.6805219200092</v>
      </c>
      <c r="H35">
        <f t="shared" si="18"/>
        <v>273.6805219200092</v>
      </c>
      <c r="I35">
        <f t="shared" si="3"/>
        <v>0</v>
      </c>
      <c r="J35">
        <f t="shared" si="13"/>
        <v>15.039772452725366</v>
      </c>
      <c r="K35">
        <f t="shared" si="14"/>
        <v>74.69682440476454</v>
      </c>
      <c r="L35">
        <f t="shared" si="15"/>
        <v>71.69998892995771</v>
      </c>
      <c r="M35">
        <f t="shared" si="16"/>
        <v>1252.0610566893863</v>
      </c>
      <c r="N35">
        <f t="shared" si="0"/>
        <v>1687.1781643968432</v>
      </c>
      <c r="O35">
        <f t="shared" si="19"/>
        <v>0</v>
      </c>
      <c r="P35">
        <f t="shared" si="1"/>
        <v>288.72029437273454</v>
      </c>
      <c r="Q35">
        <f t="shared" si="8"/>
        <v>0.6</v>
      </c>
    </row>
    <row r="36" spans="5:17" ht="12.75">
      <c r="E36">
        <v>0.26</v>
      </c>
      <c r="F36">
        <f t="shared" si="12"/>
        <v>0.32440624293949405</v>
      </c>
      <c r="G36">
        <f t="shared" si="17"/>
        <v>274.3545772224297</v>
      </c>
      <c r="H36">
        <f t="shared" si="18"/>
        <v>274.3545772224297</v>
      </c>
      <c r="I36">
        <f t="shared" si="3"/>
        <v>0</v>
      </c>
      <c r="J36">
        <f t="shared" si="13"/>
        <v>15.504761902009234</v>
      </c>
      <c r="K36">
        <f t="shared" si="14"/>
        <v>77.00624998632853</v>
      </c>
      <c r="L36">
        <f t="shared" si="15"/>
        <v>73.91676039182641</v>
      </c>
      <c r="M36">
        <f t="shared" si="16"/>
        <v>1290.7714283422686</v>
      </c>
      <c r="N36">
        <f t="shared" si="0"/>
        <v>1731.5537778448625</v>
      </c>
      <c r="O36">
        <f t="shared" si="19"/>
        <v>0</v>
      </c>
      <c r="P36">
        <f t="shared" si="1"/>
        <v>289.859339124439</v>
      </c>
      <c r="Q36">
        <f t="shared" si="8"/>
        <v>0.6</v>
      </c>
    </row>
    <row r="37" spans="5:17" ht="12.75">
      <c r="E37">
        <v>0.27</v>
      </c>
      <c r="F37">
        <f t="shared" si="12"/>
        <v>0.33381507067994726</v>
      </c>
      <c r="G37">
        <f t="shared" si="17"/>
        <v>275.04818230345666</v>
      </c>
      <c r="H37">
        <f t="shared" si="18"/>
        <v>275.04818230345666</v>
      </c>
      <c r="I37">
        <f t="shared" si="3"/>
        <v>0</v>
      </c>
      <c r="J37">
        <f t="shared" si="13"/>
        <v>15.954450023208416</v>
      </c>
      <c r="K37">
        <f t="shared" si="14"/>
        <v>79.23967969623328</v>
      </c>
      <c r="L37">
        <f t="shared" si="15"/>
        <v>76.06058493526703</v>
      </c>
      <c r="M37">
        <f t="shared" si="16"/>
        <v>1328.2079644321007</v>
      </c>
      <c r="N37">
        <f t="shared" si="0"/>
        <v>1774.5108613902662</v>
      </c>
      <c r="O37">
        <f t="shared" si="19"/>
        <v>0</v>
      </c>
      <c r="P37">
        <f t="shared" si="1"/>
        <v>291.0026323266651</v>
      </c>
      <c r="Q37">
        <f t="shared" si="8"/>
        <v>0.6</v>
      </c>
    </row>
    <row r="38" spans="5:17" ht="12.75">
      <c r="E38">
        <v>0.28</v>
      </c>
      <c r="F38">
        <f t="shared" si="12"/>
        <v>0.34289446324762124</v>
      </c>
      <c r="G38">
        <f t="shared" si="17"/>
        <v>275.760652658615</v>
      </c>
      <c r="H38">
        <f t="shared" si="18"/>
        <v>275.760652658615</v>
      </c>
      <c r="I38">
        <f t="shared" si="3"/>
        <v>0</v>
      </c>
      <c r="J38">
        <f t="shared" si="13"/>
        <v>16.388393028438788</v>
      </c>
      <c r="K38">
        <f t="shared" si="14"/>
        <v>81.3949094090003</v>
      </c>
      <c r="L38">
        <f t="shared" si="15"/>
        <v>78.12934686428225</v>
      </c>
      <c r="M38">
        <f t="shared" si="16"/>
        <v>1364.333719617529</v>
      </c>
      <c r="N38">
        <f t="shared" si="0"/>
        <v>1816.0070215778653</v>
      </c>
      <c r="O38">
        <f t="shared" si="19"/>
        <v>0</v>
      </c>
      <c r="P38">
        <f t="shared" si="1"/>
        <v>292.1490456870538</v>
      </c>
      <c r="Q38">
        <f t="shared" si="8"/>
        <v>0.6</v>
      </c>
    </row>
    <row r="39" spans="5:17" ht="12.75">
      <c r="E39">
        <v>0.29</v>
      </c>
      <c r="F39">
        <f t="shared" si="12"/>
        <v>0.3516354603782199</v>
      </c>
      <c r="G39">
        <f t="shared" si="17"/>
        <v>276.49128516568186</v>
      </c>
      <c r="H39">
        <f t="shared" si="18"/>
        <v>276.49128516568186</v>
      </c>
      <c r="I39">
        <f t="shared" si="3"/>
        <v>0</v>
      </c>
      <c r="J39">
        <f t="shared" si="13"/>
        <v>16.80616266834475</v>
      </c>
      <c r="K39">
        <f t="shared" si="14"/>
        <v>83.46981217310712</v>
      </c>
      <c r="L39">
        <f t="shared" si="15"/>
        <v>80.12100456061275</v>
      </c>
      <c r="M39">
        <f t="shared" si="16"/>
        <v>1399.1130421397</v>
      </c>
      <c r="N39">
        <f t="shared" si="0"/>
        <v>1856.0013067074465</v>
      </c>
      <c r="O39">
        <f t="shared" si="19"/>
        <v>0</v>
      </c>
      <c r="P39">
        <f t="shared" si="1"/>
        <v>293.2974478340266</v>
      </c>
      <c r="Q39">
        <f t="shared" si="8"/>
        <v>0.6</v>
      </c>
    </row>
    <row r="40" spans="5:17" ht="12.75">
      <c r="E40">
        <v>0.3</v>
      </c>
      <c r="F40">
        <f t="shared" si="12"/>
        <v>0.36002943576288904</v>
      </c>
      <c r="G40">
        <f t="shared" si="17"/>
        <v>277.23935877858304</v>
      </c>
      <c r="H40">
        <f t="shared" si="18"/>
        <v>277.23935877858304</v>
      </c>
      <c r="I40">
        <f t="shared" si="3"/>
        <v>0</v>
      </c>
      <c r="J40">
        <f t="shared" si="13"/>
        <v>17.20734665472967</v>
      </c>
      <c r="K40">
        <f t="shared" si="14"/>
        <v>85.46234031003166</v>
      </c>
      <c r="L40">
        <f t="shared" si="15"/>
        <v>82.03359249856805</v>
      </c>
      <c r="M40">
        <f t="shared" si="16"/>
        <v>1432.5116090062447</v>
      </c>
      <c r="N40">
        <f t="shared" si="0"/>
        <v>1894.4542472481571</v>
      </c>
      <c r="O40">
        <f t="shared" si="19"/>
        <v>0</v>
      </c>
      <c r="P40">
        <f t="shared" si="1"/>
        <v>294.44670543331273</v>
      </c>
      <c r="Q40">
        <f t="shared" si="8"/>
        <v>0.6</v>
      </c>
    </row>
    <row r="41" spans="5:17" ht="12.75">
      <c r="E41">
        <v>0.31</v>
      </c>
      <c r="F41">
        <f t="shared" si="12"/>
        <v>0.36806810556134073</v>
      </c>
      <c r="G41">
        <f t="shared" si="17"/>
        <v>278.0041352389786</v>
      </c>
      <c r="H41">
        <f t="shared" si="18"/>
        <v>278.0041352389786</v>
      </c>
      <c r="I41">
        <f t="shared" si="3"/>
        <v>0</v>
      </c>
      <c r="J41">
        <f t="shared" si="13"/>
        <v>17.59154906743451</v>
      </c>
      <c r="K41">
        <f t="shared" si="14"/>
        <v>87.37052743506358</v>
      </c>
      <c r="L41">
        <f t="shared" si="15"/>
        <v>83.86522318476294</v>
      </c>
      <c r="M41">
        <f t="shared" si="16"/>
        <v>1464.4964598639226</v>
      </c>
      <c r="N41">
        <f t="shared" si="0"/>
        <v>1931.3278947901622</v>
      </c>
      <c r="O41">
        <f t="shared" si="19"/>
        <v>0</v>
      </c>
      <c r="P41">
        <f t="shared" si="1"/>
        <v>295.59568430641315</v>
      </c>
      <c r="Q41">
        <f t="shared" si="8"/>
        <v>0.6</v>
      </c>
    </row>
    <row r="42" spans="5:17" ht="12.75">
      <c r="E42">
        <v>0.32</v>
      </c>
      <c r="F42">
        <f t="shared" si="12"/>
        <v>0.37574353657700427</v>
      </c>
      <c r="G42">
        <f t="shared" si="17"/>
        <v>278.78485980483475</v>
      </c>
      <c r="H42">
        <f t="shared" si="18"/>
        <v>278.78485980483475</v>
      </c>
      <c r="I42">
        <f t="shared" si="3"/>
        <v>0</v>
      </c>
      <c r="J42">
        <f t="shared" si="13"/>
        <v>17.958390745063248</v>
      </c>
      <c r="K42">
        <f t="shared" si="14"/>
        <v>89.1924903978887</v>
      </c>
      <c r="L42">
        <f t="shared" si="15"/>
        <v>85.61408902084553</v>
      </c>
      <c r="M42">
        <f t="shared" si="16"/>
        <v>1495.036029526515</v>
      </c>
      <c r="N42">
        <f aca="true" t="shared" si="20" ref="N42:N73">SUM(H42:M42)</f>
        <v>1966.5858594951474</v>
      </c>
      <c r="O42">
        <f t="shared" si="19"/>
        <v>0</v>
      </c>
      <c r="P42">
        <f aca="true" t="shared" si="21" ref="P42:P73">H42+J42</f>
        <v>296.743250549898</v>
      </c>
      <c r="Q42">
        <f t="shared" si="8"/>
        <v>0.6</v>
      </c>
    </row>
    <row r="43" spans="5:17" ht="12.75">
      <c r="E43">
        <v>0.33</v>
      </c>
      <c r="F43">
        <f aca="true" t="shared" si="22" ref="F43:F58">QLIN*COS(PI()*(E43-0.5))</f>
        <v>0.38304815408613324</v>
      </c>
      <c r="G43">
        <f t="shared" si="17"/>
        <v>279.580761995263</v>
      </c>
      <c r="H43">
        <f t="shared" si="18"/>
        <v>279.580761995263</v>
      </c>
      <c r="I43">
        <f aca="true" t="shared" si="23" ref="I43:I74">I42+O43</f>
        <v>0</v>
      </c>
      <c r="J43">
        <f aca="true" t="shared" si="24" ref="J43:J58">F43/2/PI()/HTCS/RPIN</f>
        <v>18.307509659169398</v>
      </c>
      <c r="K43">
        <f aca="true" t="shared" si="25" ref="K43:K58">F43/2/PI()/KC/(RF+TGAP)*(TGAP+TCLAD)</f>
        <v>90.92643114103095</v>
      </c>
      <c r="L43">
        <f aca="true" t="shared" si="26" ref="L43:L58">F43/2/PI()/HGAP/RF</f>
        <v>87.2784640873788</v>
      </c>
      <c r="M43">
        <f aca="true" t="shared" si="27" ref="M43:M58">F43/4/PI()/KF</f>
        <v>1524.1001791258523</v>
      </c>
      <c r="N43">
        <f t="shared" si="20"/>
        <v>2000.1933460086943</v>
      </c>
      <c r="O43">
        <f t="shared" si="19"/>
        <v>0</v>
      </c>
      <c r="P43">
        <f t="shared" si="21"/>
        <v>297.8882716544324</v>
      </c>
      <c r="Q43">
        <f aca="true" t="shared" si="28" ref="Q43:Q74">$B$50*(1-$C$50*I43-$D$50*I43^2)</f>
        <v>0.6</v>
      </c>
    </row>
    <row r="44" spans="5:17" ht="12.75">
      <c r="E44">
        <v>0.34</v>
      </c>
      <c r="F44">
        <f t="shared" si="22"/>
        <v>0.38997474931314324</v>
      </c>
      <c r="G44">
        <f aca="true" t="shared" si="29" ref="G44:G59">+H43+F44/WPIN/Cp*(E44-E43)*LENGTH</f>
        <v>280.39105635089186</v>
      </c>
      <c r="H44">
        <f aca="true" t="shared" si="30" ref="H44:H59">IF(G44&gt;Tpsat,Tpsat,G44)</f>
        <v>280.39105635089186</v>
      </c>
      <c r="I44">
        <f t="shared" si="23"/>
        <v>0</v>
      </c>
      <c r="J44">
        <f t="shared" si="24"/>
        <v>18.638561271534375</v>
      </c>
      <c r="K44">
        <f t="shared" si="25"/>
        <v>92.57063847431809</v>
      </c>
      <c r="L44">
        <f t="shared" si="26"/>
        <v>88.85670584711447</v>
      </c>
      <c r="M44">
        <f t="shared" si="27"/>
        <v>1551.6602258552364</v>
      </c>
      <c r="N44">
        <f t="shared" si="20"/>
        <v>2032.1171877990953</v>
      </c>
      <c r="O44">
        <f aca="true" t="shared" si="31" ref="O44:O59">IF(G44&gt;H44,F44*LENGTH*(E44-E43)/WPIN/hfg,0)</f>
        <v>0</v>
      </c>
      <c r="P44">
        <f t="shared" si="21"/>
        <v>299.02961762242626</v>
      </c>
      <c r="Q44">
        <f t="shared" si="28"/>
        <v>0.6</v>
      </c>
    </row>
    <row r="45" spans="5:17" ht="12.75">
      <c r="E45">
        <v>0.35</v>
      </c>
      <c r="F45">
        <f t="shared" si="22"/>
        <v>0.3965164865448033</v>
      </c>
      <c r="G45">
        <f t="shared" si="29"/>
        <v>281.2149432090203</v>
      </c>
      <c r="H45">
        <f t="shared" si="30"/>
        <v>281.2149432090203</v>
      </c>
      <c r="I45">
        <f t="shared" si="23"/>
        <v>0</v>
      </c>
      <c r="J45">
        <f t="shared" si="24"/>
        <v>18.951218874185123</v>
      </c>
      <c r="K45">
        <f t="shared" si="25"/>
        <v>94.12348976361972</v>
      </c>
      <c r="L45">
        <f t="shared" si="26"/>
        <v>90.34725676597918</v>
      </c>
      <c r="M45">
        <f t="shared" si="27"/>
        <v>1577.6889712759114</v>
      </c>
      <c r="N45">
        <f t="shared" si="20"/>
        <v>2062.325879888716</v>
      </c>
      <c r="O45">
        <f t="shared" si="31"/>
        <v>0</v>
      </c>
      <c r="P45">
        <f t="shared" si="21"/>
        <v>300.16616208320545</v>
      </c>
      <c r="Q45">
        <f t="shared" si="28"/>
        <v>0.6</v>
      </c>
    </row>
    <row r="46" spans="5:17" ht="12.75">
      <c r="E46">
        <v>0.36</v>
      </c>
      <c r="F46">
        <f t="shared" si="22"/>
        <v>0.40266690987625914</v>
      </c>
      <c r="G46">
        <f t="shared" si="29"/>
        <v>282.05160949278843</v>
      </c>
      <c r="H46">
        <f t="shared" si="30"/>
        <v>282.05160949278843</v>
      </c>
      <c r="I46">
        <f t="shared" si="23"/>
        <v>0</v>
      </c>
      <c r="J46">
        <f t="shared" si="24"/>
        <v>19.24517391181543</v>
      </c>
      <c r="K46">
        <f t="shared" si="25"/>
        <v>95.58345253219126</v>
      </c>
      <c r="L46">
        <f t="shared" si="26"/>
        <v>91.74864585017234</v>
      </c>
      <c r="M46">
        <f t="shared" si="27"/>
        <v>1602.1607281586344</v>
      </c>
      <c r="N46">
        <f t="shared" si="20"/>
        <v>2090.789609945602</v>
      </c>
      <c r="O46">
        <f t="shared" si="31"/>
        <v>0</v>
      </c>
      <c r="P46">
        <f t="shared" si="21"/>
        <v>301.29678340460384</v>
      </c>
      <c r="Q46">
        <f t="shared" si="28"/>
        <v>0.6</v>
      </c>
    </row>
    <row r="47" spans="5:17" ht="12.75">
      <c r="E47">
        <v>0.37</v>
      </c>
      <c r="F47">
        <f t="shared" si="22"/>
        <v>0.4084199495822323</v>
      </c>
      <c r="G47">
        <f t="shared" si="29"/>
        <v>282.9002295135861</v>
      </c>
      <c r="H47">
        <f t="shared" si="30"/>
        <v>282.9002295135861</v>
      </c>
      <c r="I47">
        <f t="shared" si="23"/>
        <v>0</v>
      </c>
      <c r="J47">
        <f t="shared" si="24"/>
        <v>19.52013628629278</v>
      </c>
      <c r="K47">
        <f t="shared" si="25"/>
        <v>96.94908597304361</v>
      </c>
      <c r="L47">
        <f t="shared" si="26"/>
        <v>93.05949009785961</v>
      </c>
      <c r="M47">
        <f t="shared" si="27"/>
        <v>1625.0513458338735</v>
      </c>
      <c r="N47">
        <f t="shared" si="20"/>
        <v>2117.4802877046554</v>
      </c>
      <c r="O47">
        <f t="shared" si="31"/>
        <v>0</v>
      </c>
      <c r="P47">
        <f t="shared" si="21"/>
        <v>302.4203657998789</v>
      </c>
      <c r="Q47">
        <f t="shared" si="28"/>
        <v>0.6</v>
      </c>
    </row>
    <row r="48" spans="5:17" ht="12.75">
      <c r="E48">
        <v>0.38</v>
      </c>
      <c r="F48">
        <f t="shared" si="22"/>
        <v>0.41376992810710594</v>
      </c>
      <c r="G48">
        <f t="shared" si="29"/>
        <v>283.759965785908</v>
      </c>
      <c r="H48">
        <f t="shared" si="30"/>
        <v>283.759965785908</v>
      </c>
      <c r="I48">
        <f t="shared" si="23"/>
        <v>0</v>
      </c>
      <c r="J48">
        <f t="shared" si="24"/>
        <v>19.775834642950176</v>
      </c>
      <c r="K48">
        <f t="shared" si="25"/>
        <v>98.21904237084557</v>
      </c>
      <c r="L48">
        <f t="shared" si="26"/>
        <v>94.27849586402874</v>
      </c>
      <c r="M48">
        <f t="shared" si="27"/>
        <v>1646.3382340256019</v>
      </c>
      <c r="N48">
        <f t="shared" si="20"/>
        <v>2142.3715726893342</v>
      </c>
      <c r="O48">
        <f t="shared" si="31"/>
        <v>0</v>
      </c>
      <c r="P48">
        <f t="shared" si="21"/>
        <v>303.5358004288582</v>
      </c>
      <c r="Q48">
        <f t="shared" si="28"/>
        <v>0.6</v>
      </c>
    </row>
    <row r="49" spans="5:17" ht="12.75">
      <c r="E49">
        <v>0.39</v>
      </c>
      <c r="F49">
        <f t="shared" si="22"/>
        <v>0.4187115656679866</v>
      </c>
      <c r="G49">
        <f t="shared" si="29"/>
        <v>284.62996985385047</v>
      </c>
      <c r="H49">
        <f t="shared" si="30"/>
        <v>284.62996985385047</v>
      </c>
      <c r="I49">
        <f t="shared" si="23"/>
        <v>0</v>
      </c>
      <c r="J49">
        <f t="shared" si="24"/>
        <v>20.012016638380427</v>
      </c>
      <c r="K49">
        <f t="shared" si="25"/>
        <v>99.39206843195619</v>
      </c>
      <c r="L49">
        <f t="shared" si="26"/>
        <v>95.40446013716078</v>
      </c>
      <c r="M49">
        <f t="shared" si="27"/>
        <v>1666.0003851451702</v>
      </c>
      <c r="N49">
        <f t="shared" si="20"/>
        <v>2165.438900206518</v>
      </c>
      <c r="O49">
        <f t="shared" si="31"/>
        <v>0</v>
      </c>
      <c r="P49">
        <f t="shared" si="21"/>
        <v>304.6419864922309</v>
      </c>
      <c r="Q49">
        <f t="shared" si="28"/>
        <v>0.6</v>
      </c>
    </row>
    <row r="50" spans="1:17" ht="12.75">
      <c r="A50" t="s">
        <v>45</v>
      </c>
      <c r="B50">
        <v>0.6</v>
      </c>
      <c r="C50">
        <v>30</v>
      </c>
      <c r="D50">
        <v>-400</v>
      </c>
      <c r="E50">
        <v>0.4</v>
      </c>
      <c r="F50">
        <f t="shared" si="22"/>
        <v>0.423239985465213</v>
      </c>
      <c r="G50">
        <f t="shared" si="29"/>
        <v>285.5093831284354</v>
      </c>
      <c r="H50">
        <f t="shared" si="30"/>
        <v>285.5093831284354</v>
      </c>
      <c r="I50">
        <f t="shared" si="23"/>
        <v>0</v>
      </c>
      <c r="J50">
        <f t="shared" si="24"/>
        <v>20.22844918946865</v>
      </c>
      <c r="K50">
        <f t="shared" si="25"/>
        <v>100.46700652127431</v>
      </c>
      <c r="L50">
        <f t="shared" si="26"/>
        <v>96.43627172645753</v>
      </c>
      <c r="M50">
        <f t="shared" si="27"/>
        <v>1684.0183950232647</v>
      </c>
      <c r="N50">
        <f t="shared" si="20"/>
        <v>2186.6595055889006</v>
      </c>
      <c r="O50">
        <f t="shared" si="31"/>
        <v>0</v>
      </c>
      <c r="P50">
        <f t="shared" si="21"/>
        <v>305.737832317904</v>
      </c>
      <c r="Q50">
        <f t="shared" si="28"/>
        <v>0.6</v>
      </c>
    </row>
    <row r="51" spans="5:17" ht="12.75">
      <c r="E51">
        <v>0.41</v>
      </c>
      <c r="F51">
        <f t="shared" si="22"/>
        <v>0.42735071849516787</v>
      </c>
      <c r="G51">
        <f t="shared" si="29"/>
        <v>286.3973377349335</v>
      </c>
      <c r="H51">
        <f t="shared" si="30"/>
        <v>286.3973377349335</v>
      </c>
      <c r="I51">
        <f t="shared" si="23"/>
        <v>0</v>
      </c>
      <c r="J51">
        <f t="shared" si="24"/>
        <v>20.424918703417127</v>
      </c>
      <c r="K51">
        <f t="shared" si="25"/>
        <v>101.44279580468462</v>
      </c>
      <c r="L51">
        <f t="shared" si="26"/>
        <v>97.37291235845242</v>
      </c>
      <c r="M51">
        <f t="shared" si="27"/>
        <v>1700.3744820594754</v>
      </c>
      <c r="N51">
        <f t="shared" si="20"/>
        <v>2206.012446660963</v>
      </c>
      <c r="O51">
        <f t="shared" si="31"/>
        <v>0</v>
      </c>
      <c r="P51">
        <f t="shared" si="21"/>
        <v>306.8222564383506</v>
      </c>
      <c r="Q51">
        <f t="shared" si="28"/>
        <v>0.6</v>
      </c>
    </row>
    <row r="52" spans="5:17" ht="12.75">
      <c r="E52">
        <v>0.42</v>
      </c>
      <c r="F52">
        <f t="shared" si="22"/>
        <v>0.43103970796064545</v>
      </c>
      <c r="G52">
        <f t="shared" si="29"/>
        <v>287.29295736935234</v>
      </c>
      <c r="H52">
        <f t="shared" si="30"/>
        <v>287.29295736935234</v>
      </c>
      <c r="I52">
        <f t="shared" si="23"/>
        <v>0</v>
      </c>
      <c r="J52">
        <f t="shared" si="24"/>
        <v>20.60123128853565</v>
      </c>
      <c r="K52">
        <f t="shared" si="25"/>
        <v>102.31847329597288</v>
      </c>
      <c r="L52">
        <f t="shared" si="26"/>
        <v>98.21345768192371</v>
      </c>
      <c r="M52">
        <f t="shared" si="27"/>
        <v>1715.0525047705928</v>
      </c>
      <c r="N52">
        <f t="shared" si="20"/>
        <v>2223.4786244063775</v>
      </c>
      <c r="O52">
        <f t="shared" si="31"/>
        <v>0</v>
      </c>
      <c r="P52">
        <f t="shared" si="21"/>
        <v>307.894188657888</v>
      </c>
      <c r="Q52">
        <f t="shared" si="28"/>
        <v>0.6</v>
      </c>
    </row>
    <row r="53" spans="5:17" ht="12.75">
      <c r="E53">
        <v>0.43</v>
      </c>
      <c r="F53">
        <f t="shared" si="22"/>
        <v>0.4343033132744206</v>
      </c>
      <c r="G53">
        <f t="shared" si="29"/>
        <v>288.1953581632422</v>
      </c>
      <c r="H53">
        <f t="shared" si="30"/>
        <v>288.1953581632422</v>
      </c>
      <c r="I53">
        <f t="shared" si="23"/>
        <v>0</v>
      </c>
      <c r="J53">
        <f t="shared" si="24"/>
        <v>20.757212945589192</v>
      </c>
      <c r="K53">
        <f t="shared" si="25"/>
        <v>103.09317480717701</v>
      </c>
      <c r="L53">
        <f t="shared" si="26"/>
        <v>98.95707818011739</v>
      </c>
      <c r="M53">
        <f t="shared" si="27"/>
        <v>1728.0379777203</v>
      </c>
      <c r="N53">
        <f t="shared" si="20"/>
        <v>2239.0408018164258</v>
      </c>
      <c r="O53">
        <f t="shared" si="31"/>
        <v>0</v>
      </c>
      <c r="P53">
        <f t="shared" si="21"/>
        <v>308.95257110883136</v>
      </c>
      <c r="Q53">
        <f t="shared" si="28"/>
        <v>0.6</v>
      </c>
    </row>
    <row r="54" spans="5:17" ht="12.75">
      <c r="E54">
        <v>0.44</v>
      </c>
      <c r="F54">
        <f t="shared" si="22"/>
        <v>0.4371383136520683</v>
      </c>
      <c r="G54">
        <f t="shared" si="29"/>
        <v>289.1036495559676</v>
      </c>
      <c r="H54">
        <f t="shared" si="30"/>
        <v>289.1036495559676</v>
      </c>
      <c r="I54">
        <f t="shared" si="23"/>
        <v>0</v>
      </c>
      <c r="J54">
        <f t="shared" si="24"/>
        <v>20.892709739514125</v>
      </c>
      <c r="K54">
        <f t="shared" si="25"/>
        <v>103.76613580143626</v>
      </c>
      <c r="L54">
        <f t="shared" si="26"/>
        <v>99.60303998938014</v>
      </c>
      <c r="M54">
        <f t="shared" si="27"/>
        <v>1739.3180858145506</v>
      </c>
      <c r="N54">
        <f t="shared" si="20"/>
        <v>2252.683620900849</v>
      </c>
      <c r="O54">
        <f t="shared" si="31"/>
        <v>0</v>
      </c>
      <c r="P54">
        <f t="shared" si="21"/>
        <v>309.99635929548174</v>
      </c>
      <c r="Q54">
        <f t="shared" si="28"/>
        <v>0.6</v>
      </c>
    </row>
    <row r="55" spans="5:17" ht="12.75">
      <c r="E55">
        <v>0.45</v>
      </c>
      <c r="F55">
        <f t="shared" si="22"/>
        <v>0.4395419112904896</v>
      </c>
      <c r="G55">
        <f t="shared" si="29"/>
        <v>290.0169351735833</v>
      </c>
      <c r="H55">
        <f t="shared" si="30"/>
        <v>290.0169351735833</v>
      </c>
      <c r="I55">
        <f t="shared" si="23"/>
        <v>0</v>
      </c>
      <c r="J55">
        <f t="shared" si="24"/>
        <v>21.00758795133357</v>
      </c>
      <c r="K55">
        <f t="shared" si="25"/>
        <v>104.33669214749689</v>
      </c>
      <c r="L55">
        <f t="shared" si="26"/>
        <v>100.15070562339409</v>
      </c>
      <c r="M55">
        <f t="shared" si="27"/>
        <v>1748.8816969485192</v>
      </c>
      <c r="N55">
        <f t="shared" si="20"/>
        <v>2264.3936178443273</v>
      </c>
      <c r="O55">
        <f t="shared" si="31"/>
        <v>0</v>
      </c>
      <c r="P55">
        <f t="shared" si="21"/>
        <v>311.02452312491687</v>
      </c>
      <c r="Q55">
        <f t="shared" si="28"/>
        <v>0.6</v>
      </c>
    </row>
    <row r="56" spans="5:17" ht="12.75">
      <c r="E56">
        <v>0.46</v>
      </c>
      <c r="F56">
        <f t="shared" si="22"/>
        <v>0.4415117341290052</v>
      </c>
      <c r="G56">
        <f t="shared" si="29"/>
        <v>290.93431371344707</v>
      </c>
      <c r="H56">
        <f t="shared" si="30"/>
        <v>290.93431371344707</v>
      </c>
      <c r="I56">
        <f t="shared" si="23"/>
        <v>0</v>
      </c>
      <c r="J56">
        <f t="shared" si="24"/>
        <v>21.101734210121876</v>
      </c>
      <c r="K56">
        <f t="shared" si="25"/>
        <v>104.80428077512946</v>
      </c>
      <c r="L56">
        <f t="shared" si="26"/>
        <v>100.59953460229899</v>
      </c>
      <c r="M56">
        <f t="shared" si="27"/>
        <v>1756.719372992646</v>
      </c>
      <c r="N56">
        <f t="shared" si="20"/>
        <v>2274.1592362936435</v>
      </c>
      <c r="O56">
        <f t="shared" si="31"/>
        <v>0</v>
      </c>
      <c r="P56">
        <f t="shared" si="21"/>
        <v>312.03604792356896</v>
      </c>
      <c r="Q56">
        <f t="shared" si="28"/>
        <v>0.6</v>
      </c>
    </row>
    <row r="57" spans="5:17" ht="12.75">
      <c r="E57">
        <v>0.47</v>
      </c>
      <c r="F57">
        <f t="shared" si="22"/>
        <v>0.4430458381902931</v>
      </c>
      <c r="G57">
        <f t="shared" si="29"/>
        <v>291.8548798336965</v>
      </c>
      <c r="H57">
        <f t="shared" si="30"/>
        <v>291.8548798336965</v>
      </c>
      <c r="I57">
        <f t="shared" si="23"/>
        <v>0</v>
      </c>
      <c r="J57">
        <f t="shared" si="24"/>
        <v>21.175055604888044</v>
      </c>
      <c r="K57">
        <f t="shared" si="25"/>
        <v>105.16844023081114</v>
      </c>
      <c r="L57">
        <f t="shared" si="26"/>
        <v>100.94908398608042</v>
      </c>
      <c r="M57">
        <f t="shared" si="27"/>
        <v>1762.8233791069292</v>
      </c>
      <c r="N57">
        <f t="shared" si="20"/>
        <v>2281.970838762405</v>
      </c>
      <c r="O57">
        <f t="shared" si="31"/>
        <v>0</v>
      </c>
      <c r="P57">
        <f t="shared" si="21"/>
        <v>313.0299354385845</v>
      </c>
      <c r="Q57">
        <f t="shared" si="28"/>
        <v>0.6</v>
      </c>
    </row>
    <row r="58" spans="5:17" ht="12.75">
      <c r="E58">
        <v>0.48</v>
      </c>
      <c r="F58">
        <f t="shared" si="22"/>
        <v>0.4441427094988595</v>
      </c>
      <c r="G58">
        <f t="shared" si="29"/>
        <v>292.7777250467122</v>
      </c>
      <c r="H58">
        <f t="shared" si="30"/>
        <v>292.7777250467122</v>
      </c>
      <c r="I58">
        <f t="shared" si="23"/>
        <v>0</v>
      </c>
      <c r="J58">
        <f t="shared" si="24"/>
        <v>21.227479776267625</v>
      </c>
      <c r="K58">
        <f t="shared" si="25"/>
        <v>105.42881113312464</v>
      </c>
      <c r="L58">
        <f t="shared" si="26"/>
        <v>101.19900881169818</v>
      </c>
      <c r="M58">
        <f t="shared" si="27"/>
        <v>1767.1876913742794</v>
      </c>
      <c r="N58">
        <f t="shared" si="20"/>
        <v>2287.820716142082</v>
      </c>
      <c r="O58">
        <f t="shared" si="31"/>
        <v>0</v>
      </c>
      <c r="P58">
        <f t="shared" si="21"/>
        <v>314.0052048229798</v>
      </c>
      <c r="Q58">
        <f t="shared" si="28"/>
        <v>0.6</v>
      </c>
    </row>
    <row r="59" spans="5:17" ht="12.75">
      <c r="E59">
        <v>0.49</v>
      </c>
      <c r="F59">
        <f aca="true" t="shared" si="32" ref="F59:F74">QLIN*COS(PI()*(E59-0.5))</f>
        <v>0.44480126557514965</v>
      </c>
      <c r="G59">
        <f t="shared" si="29"/>
        <v>293.7019386156853</v>
      </c>
      <c r="H59">
        <f t="shared" si="30"/>
        <v>293.7019386156853</v>
      </c>
      <c r="I59">
        <f t="shared" si="23"/>
        <v>0</v>
      </c>
      <c r="J59">
        <f aca="true" t="shared" si="33" ref="J59:J74">F59/2/PI()/HTCS/RPIN</f>
        <v>21.258954987932725</v>
      </c>
      <c r="K59">
        <f aca="true" t="shared" si="34" ref="K59:K74">F59/2/PI()/KC/(RF+TGAP)*(TGAP+TCLAD)</f>
        <v>105.5851365274244</v>
      </c>
      <c r="L59">
        <f aca="true" t="shared" si="35" ref="L59:L74">F59/2/PI()/HGAP/RF</f>
        <v>101.3490624335232</v>
      </c>
      <c r="M59">
        <f aca="true" t="shared" si="36" ref="M59:M74">F59/4/PI()/KF</f>
        <v>1769.808002745399</v>
      </c>
      <c r="N59">
        <f t="shared" si="20"/>
        <v>2291.7030953099647</v>
      </c>
      <c r="O59">
        <f t="shared" si="31"/>
        <v>0</v>
      </c>
      <c r="P59">
        <f t="shared" si="21"/>
        <v>314.96089360361805</v>
      </c>
      <c r="Q59">
        <f t="shared" si="28"/>
        <v>0.6</v>
      </c>
    </row>
    <row r="60" spans="5:17" ht="12.75">
      <c r="E60">
        <v>0.5</v>
      </c>
      <c r="F60">
        <f t="shared" si="32"/>
        <v>0.4450208565038247</v>
      </c>
      <c r="G60">
        <f aca="true" t="shared" si="37" ref="G60:G75">+H59+F60/WPIN/Cp*(E60-E59)*LENGTH</f>
        <v>294.626608453405</v>
      </c>
      <c r="H60">
        <f aca="true" t="shared" si="38" ref="H60:H75">IF(G60&gt;Tpsat,Tpsat,G60)</f>
        <v>294.626608453405</v>
      </c>
      <c r="I60">
        <f t="shared" si="23"/>
        <v>0</v>
      </c>
      <c r="J60">
        <f t="shared" si="33"/>
        <v>21.269450177649475</v>
      </c>
      <c r="K60">
        <f t="shared" si="34"/>
        <v>105.63726213941959</v>
      </c>
      <c r="L60">
        <f t="shared" si="35"/>
        <v>101.39909676674694</v>
      </c>
      <c r="M60">
        <f t="shared" si="36"/>
        <v>1770.6817272893186</v>
      </c>
      <c r="N60">
        <f t="shared" si="20"/>
        <v>2293.61414482654</v>
      </c>
      <c r="O60">
        <f aca="true" t="shared" si="39" ref="O60:O75">IF(G60&gt;H60,F60*LENGTH*(E60-E59)/WPIN/hfg,0)</f>
        <v>0</v>
      </c>
      <c r="P60">
        <f t="shared" si="21"/>
        <v>315.89605863105453</v>
      </c>
      <c r="Q60">
        <f t="shared" si="28"/>
        <v>0.6</v>
      </c>
    </row>
    <row r="61" spans="5:17" ht="12.75">
      <c r="E61">
        <v>0.51</v>
      </c>
      <c r="F61">
        <f t="shared" si="32"/>
        <v>0.44480126557514965</v>
      </c>
      <c r="G61">
        <f t="shared" si="37"/>
        <v>295.55082202237816</v>
      </c>
      <c r="H61">
        <f t="shared" si="38"/>
        <v>295.55082202237816</v>
      </c>
      <c r="I61">
        <f t="shared" si="23"/>
        <v>0</v>
      </c>
      <c r="J61">
        <f t="shared" si="33"/>
        <v>21.258954987932725</v>
      </c>
      <c r="K61">
        <f t="shared" si="34"/>
        <v>105.5851365274244</v>
      </c>
      <c r="L61">
        <f t="shared" si="35"/>
        <v>101.3490624335232</v>
      </c>
      <c r="M61">
        <f t="shared" si="36"/>
        <v>1769.808002745399</v>
      </c>
      <c r="N61">
        <f t="shared" si="20"/>
        <v>2293.5519787166577</v>
      </c>
      <c r="O61">
        <f t="shared" si="39"/>
        <v>0</v>
      </c>
      <c r="P61">
        <f t="shared" si="21"/>
        <v>316.8097770103109</v>
      </c>
      <c r="Q61">
        <f t="shared" si="28"/>
        <v>0.6</v>
      </c>
    </row>
    <row r="62" spans="5:17" ht="12.75">
      <c r="E62">
        <v>0.52</v>
      </c>
      <c r="F62">
        <f t="shared" si="32"/>
        <v>0.4441427094988595</v>
      </c>
      <c r="G62">
        <f t="shared" si="37"/>
        <v>296.47366723539386</v>
      </c>
      <c r="H62">
        <f t="shared" si="38"/>
        <v>296.47366723539386</v>
      </c>
      <c r="I62">
        <f t="shared" si="23"/>
        <v>0</v>
      </c>
      <c r="J62">
        <f t="shared" si="33"/>
        <v>21.227479776267625</v>
      </c>
      <c r="K62">
        <f t="shared" si="34"/>
        <v>105.42881113312464</v>
      </c>
      <c r="L62">
        <f t="shared" si="35"/>
        <v>101.19900881169818</v>
      </c>
      <c r="M62">
        <f t="shared" si="36"/>
        <v>1767.1876913742794</v>
      </c>
      <c r="N62">
        <f t="shared" si="20"/>
        <v>2291.5166583307637</v>
      </c>
      <c r="O62">
        <f t="shared" si="39"/>
        <v>0</v>
      </c>
      <c r="P62">
        <f t="shared" si="21"/>
        <v>317.7011470116615</v>
      </c>
      <c r="Q62">
        <f t="shared" si="28"/>
        <v>0.6</v>
      </c>
    </row>
    <row r="63" spans="5:17" ht="12.75">
      <c r="E63">
        <v>0.53</v>
      </c>
      <c r="F63">
        <f t="shared" si="32"/>
        <v>0.4430458381902931</v>
      </c>
      <c r="G63">
        <f t="shared" si="37"/>
        <v>297.3942333556433</v>
      </c>
      <c r="H63">
        <f t="shared" si="38"/>
        <v>297.3942333556433</v>
      </c>
      <c r="I63">
        <f t="shared" si="23"/>
        <v>0</v>
      </c>
      <c r="J63">
        <f t="shared" si="33"/>
        <v>21.175055604888044</v>
      </c>
      <c r="K63">
        <f t="shared" si="34"/>
        <v>105.16844023081114</v>
      </c>
      <c r="L63">
        <f t="shared" si="35"/>
        <v>100.94908398608042</v>
      </c>
      <c r="M63">
        <f t="shared" si="36"/>
        <v>1762.8233791069292</v>
      </c>
      <c r="N63">
        <f t="shared" si="20"/>
        <v>2287.5101922843523</v>
      </c>
      <c r="O63">
        <f t="shared" si="39"/>
        <v>0</v>
      </c>
      <c r="P63">
        <f t="shared" si="21"/>
        <v>318.5692889605313</v>
      </c>
      <c r="Q63">
        <f t="shared" si="28"/>
        <v>0.6</v>
      </c>
    </row>
    <row r="64" spans="5:17" ht="12.75">
      <c r="E64">
        <v>0.54</v>
      </c>
      <c r="F64">
        <f t="shared" si="32"/>
        <v>0.44151173412900513</v>
      </c>
      <c r="G64">
        <f t="shared" si="37"/>
        <v>298.31161189550704</v>
      </c>
      <c r="H64">
        <f t="shared" si="38"/>
        <v>298.31161189550704</v>
      </c>
      <c r="I64">
        <f t="shared" si="23"/>
        <v>0</v>
      </c>
      <c r="J64">
        <f t="shared" si="33"/>
        <v>21.101734210121876</v>
      </c>
      <c r="K64">
        <f t="shared" si="34"/>
        <v>104.80428077512943</v>
      </c>
      <c r="L64">
        <f t="shared" si="35"/>
        <v>100.59953460229896</v>
      </c>
      <c r="M64">
        <f t="shared" si="36"/>
        <v>1756.7193729926457</v>
      </c>
      <c r="N64">
        <f t="shared" si="20"/>
        <v>2281.536534475703</v>
      </c>
      <c r="O64">
        <f t="shared" si="39"/>
        <v>0</v>
      </c>
      <c r="P64">
        <f t="shared" si="21"/>
        <v>319.41334610562893</v>
      </c>
      <c r="Q64">
        <f t="shared" si="28"/>
        <v>0.6</v>
      </c>
    </row>
    <row r="65" spans="5:17" ht="12.75">
      <c r="E65">
        <v>0.55</v>
      </c>
      <c r="F65">
        <f t="shared" si="32"/>
        <v>0.43954191129048953</v>
      </c>
      <c r="G65">
        <f t="shared" si="37"/>
        <v>299.22489751312276</v>
      </c>
      <c r="H65">
        <f t="shared" si="38"/>
        <v>299.22489751312276</v>
      </c>
      <c r="I65">
        <f t="shared" si="23"/>
        <v>0</v>
      </c>
      <c r="J65">
        <f t="shared" si="33"/>
        <v>21.00758795133357</v>
      </c>
      <c r="K65">
        <f t="shared" si="34"/>
        <v>104.33669214749689</v>
      </c>
      <c r="L65">
        <f t="shared" si="35"/>
        <v>100.15070562339409</v>
      </c>
      <c r="M65">
        <f t="shared" si="36"/>
        <v>1748.8816969485192</v>
      </c>
      <c r="N65">
        <f t="shared" si="20"/>
        <v>2273.6015801838666</v>
      </c>
      <c r="O65">
        <f t="shared" si="39"/>
        <v>0</v>
      </c>
      <c r="P65">
        <f t="shared" si="21"/>
        <v>320.2324854644563</v>
      </c>
      <c r="Q65">
        <f t="shared" si="28"/>
        <v>0.6</v>
      </c>
    </row>
    <row r="66" spans="5:17" ht="12.75">
      <c r="E66">
        <v>0.56</v>
      </c>
      <c r="F66">
        <f t="shared" si="32"/>
        <v>0.43713831365206823</v>
      </c>
      <c r="G66">
        <f t="shared" si="37"/>
        <v>300.13318890584816</v>
      </c>
      <c r="H66">
        <f t="shared" si="38"/>
        <v>300.13318890584816</v>
      </c>
      <c r="I66">
        <f t="shared" si="23"/>
        <v>0</v>
      </c>
      <c r="J66">
        <f t="shared" si="33"/>
        <v>20.89270973951412</v>
      </c>
      <c r="K66">
        <f t="shared" si="34"/>
        <v>103.76613580143625</v>
      </c>
      <c r="L66">
        <f t="shared" si="35"/>
        <v>99.60303998938012</v>
      </c>
      <c r="M66">
        <f t="shared" si="36"/>
        <v>1739.3180858145502</v>
      </c>
      <c r="N66">
        <f t="shared" si="20"/>
        <v>2263.713160250729</v>
      </c>
      <c r="O66">
        <f t="shared" si="39"/>
        <v>0</v>
      </c>
      <c r="P66">
        <f t="shared" si="21"/>
        <v>321.0258986453623</v>
      </c>
      <c r="Q66">
        <f t="shared" si="28"/>
        <v>0.6</v>
      </c>
    </row>
    <row r="67" spans="5:17" ht="12.75">
      <c r="E67">
        <v>0.57</v>
      </c>
      <c r="F67">
        <f t="shared" si="32"/>
        <v>0.4343033132744206</v>
      </c>
      <c r="G67">
        <f t="shared" si="37"/>
        <v>301.03558969973795</v>
      </c>
      <c r="H67">
        <f t="shared" si="38"/>
        <v>301.03558969973795</v>
      </c>
      <c r="I67">
        <f t="shared" si="23"/>
        <v>0</v>
      </c>
      <c r="J67">
        <f t="shared" si="33"/>
        <v>20.757212945589192</v>
      </c>
      <c r="K67">
        <f t="shared" si="34"/>
        <v>103.09317480717701</v>
      </c>
      <c r="L67">
        <f t="shared" si="35"/>
        <v>98.95707818011739</v>
      </c>
      <c r="M67">
        <f t="shared" si="36"/>
        <v>1728.0379777203</v>
      </c>
      <c r="N67">
        <f t="shared" si="20"/>
        <v>2251.8810333529213</v>
      </c>
      <c r="O67">
        <f t="shared" si="39"/>
        <v>0</v>
      </c>
      <c r="P67">
        <f t="shared" si="21"/>
        <v>321.79280264532713</v>
      </c>
      <c r="Q67">
        <f t="shared" si="28"/>
        <v>0.6</v>
      </c>
    </row>
    <row r="68" spans="5:17" ht="12.75">
      <c r="E68">
        <v>0.58</v>
      </c>
      <c r="F68">
        <f t="shared" si="32"/>
        <v>0.4310397079606455</v>
      </c>
      <c r="G68">
        <f t="shared" si="37"/>
        <v>301.9312093341568</v>
      </c>
      <c r="H68">
        <f t="shared" si="38"/>
        <v>301.9312093341568</v>
      </c>
      <c r="I68">
        <f t="shared" si="23"/>
        <v>0</v>
      </c>
      <c r="J68">
        <f t="shared" si="33"/>
        <v>20.60123128853565</v>
      </c>
      <c r="K68">
        <f t="shared" si="34"/>
        <v>102.31847329597288</v>
      </c>
      <c r="L68">
        <f t="shared" si="35"/>
        <v>98.21345768192371</v>
      </c>
      <c r="M68">
        <f t="shared" si="36"/>
        <v>1715.0525047705928</v>
      </c>
      <c r="N68">
        <f t="shared" si="20"/>
        <v>2238.1168763711817</v>
      </c>
      <c r="O68">
        <f t="shared" si="39"/>
        <v>0</v>
      </c>
      <c r="P68">
        <f t="shared" si="21"/>
        <v>322.53244062269243</v>
      </c>
      <c r="Q68">
        <f t="shared" si="28"/>
        <v>0.6</v>
      </c>
    </row>
    <row r="69" spans="5:17" ht="12.75">
      <c r="E69">
        <v>0.59</v>
      </c>
      <c r="F69">
        <f t="shared" si="32"/>
        <v>0.42735071849516787</v>
      </c>
      <c r="G69">
        <f t="shared" si="37"/>
        <v>302.81916394065496</v>
      </c>
      <c r="H69">
        <f t="shared" si="38"/>
        <v>302.81916394065496</v>
      </c>
      <c r="I69">
        <f t="shared" si="23"/>
        <v>0</v>
      </c>
      <c r="J69">
        <f t="shared" si="33"/>
        <v>20.424918703417127</v>
      </c>
      <c r="K69">
        <f t="shared" si="34"/>
        <v>101.44279580468462</v>
      </c>
      <c r="L69">
        <f t="shared" si="35"/>
        <v>97.37291235845242</v>
      </c>
      <c r="M69">
        <f t="shared" si="36"/>
        <v>1700.3744820594754</v>
      </c>
      <c r="N69">
        <f t="shared" si="20"/>
        <v>2222.4342728666843</v>
      </c>
      <c r="O69">
        <f t="shared" si="39"/>
        <v>0</v>
      </c>
      <c r="P69">
        <f t="shared" si="21"/>
        <v>323.2440826440721</v>
      </c>
      <c r="Q69">
        <f t="shared" si="28"/>
        <v>0.6</v>
      </c>
    </row>
    <row r="70" spans="5:17" ht="12.75">
      <c r="E70">
        <v>0.6</v>
      </c>
      <c r="F70">
        <f t="shared" si="32"/>
        <v>0.423239985465213</v>
      </c>
      <c r="G70">
        <f t="shared" si="37"/>
        <v>303.6985772152399</v>
      </c>
      <c r="H70">
        <f t="shared" si="38"/>
        <v>303.6985772152399</v>
      </c>
      <c r="I70">
        <f t="shared" si="23"/>
        <v>0</v>
      </c>
      <c r="J70">
        <f t="shared" si="33"/>
        <v>20.22844918946865</v>
      </c>
      <c r="K70">
        <f t="shared" si="34"/>
        <v>100.46700652127431</v>
      </c>
      <c r="L70">
        <f t="shared" si="35"/>
        <v>96.43627172645753</v>
      </c>
      <c r="M70">
        <f t="shared" si="36"/>
        <v>1684.0183950232647</v>
      </c>
      <c r="N70">
        <f t="shared" si="20"/>
        <v>2204.848699675705</v>
      </c>
      <c r="O70">
        <f t="shared" si="39"/>
        <v>0</v>
      </c>
      <c r="P70">
        <f t="shared" si="21"/>
        <v>323.9270264047085</v>
      </c>
      <c r="Q70">
        <f t="shared" si="28"/>
        <v>0.6</v>
      </c>
    </row>
    <row r="71" spans="5:17" ht="12.75">
      <c r="E71">
        <v>0.61</v>
      </c>
      <c r="F71">
        <f t="shared" si="32"/>
        <v>0.4187115656679866</v>
      </c>
      <c r="G71">
        <f t="shared" si="37"/>
        <v>304.56858128318237</v>
      </c>
      <c r="H71">
        <f t="shared" si="38"/>
        <v>304.56858128318237</v>
      </c>
      <c r="I71">
        <f t="shared" si="23"/>
        <v>0</v>
      </c>
      <c r="J71">
        <f t="shared" si="33"/>
        <v>20.012016638380427</v>
      </c>
      <c r="K71">
        <f t="shared" si="34"/>
        <v>99.39206843195619</v>
      </c>
      <c r="L71">
        <f t="shared" si="35"/>
        <v>95.40446013716078</v>
      </c>
      <c r="M71">
        <f t="shared" si="36"/>
        <v>1666.0003851451702</v>
      </c>
      <c r="N71">
        <f t="shared" si="20"/>
        <v>2185.37751163585</v>
      </c>
      <c r="O71">
        <f t="shared" si="39"/>
        <v>0</v>
      </c>
      <c r="P71">
        <f t="shared" si="21"/>
        <v>324.5805979215628</v>
      </c>
      <c r="Q71">
        <f t="shared" si="28"/>
        <v>0.6</v>
      </c>
    </row>
    <row r="72" spans="5:17" ht="12.75">
      <c r="E72">
        <v>0.62</v>
      </c>
      <c r="F72">
        <f t="shared" si="32"/>
        <v>0.41376992810710594</v>
      </c>
      <c r="G72">
        <f t="shared" si="37"/>
        <v>305.42831755550424</v>
      </c>
      <c r="H72">
        <f t="shared" si="38"/>
        <v>305.42831755550424</v>
      </c>
      <c r="I72">
        <f t="shared" si="23"/>
        <v>0</v>
      </c>
      <c r="J72">
        <f t="shared" si="33"/>
        <v>19.775834642950176</v>
      </c>
      <c r="K72">
        <f t="shared" si="34"/>
        <v>98.21904237084557</v>
      </c>
      <c r="L72">
        <f t="shared" si="35"/>
        <v>94.27849586402874</v>
      </c>
      <c r="M72">
        <f t="shared" si="36"/>
        <v>1646.3382340256019</v>
      </c>
      <c r="N72">
        <f t="shared" si="20"/>
        <v>2164.0399244589307</v>
      </c>
      <c r="O72">
        <f t="shared" si="39"/>
        <v>0</v>
      </c>
      <c r="P72">
        <f t="shared" si="21"/>
        <v>325.20415219845444</v>
      </c>
      <c r="Q72">
        <f t="shared" si="28"/>
        <v>0.6</v>
      </c>
    </row>
    <row r="73" spans="5:17" ht="12.75">
      <c r="E73">
        <v>0.63</v>
      </c>
      <c r="F73">
        <f t="shared" si="32"/>
        <v>0.4084199495822323</v>
      </c>
      <c r="G73">
        <f t="shared" si="37"/>
        <v>306.2769375763019</v>
      </c>
      <c r="H73">
        <f t="shared" si="38"/>
        <v>306.2769375763019</v>
      </c>
      <c r="I73">
        <f t="shared" si="23"/>
        <v>0</v>
      </c>
      <c r="J73">
        <f t="shared" si="33"/>
        <v>19.52013628629278</v>
      </c>
      <c r="K73">
        <f t="shared" si="34"/>
        <v>96.94908597304361</v>
      </c>
      <c r="L73">
        <f t="shared" si="35"/>
        <v>93.05949009785961</v>
      </c>
      <c r="M73">
        <f t="shared" si="36"/>
        <v>1625.0513458338735</v>
      </c>
      <c r="N73">
        <f t="shared" si="20"/>
        <v>2140.8569957673712</v>
      </c>
      <c r="O73">
        <f t="shared" si="39"/>
        <v>0</v>
      </c>
      <c r="P73">
        <f t="shared" si="21"/>
        <v>325.7970738625947</v>
      </c>
      <c r="Q73">
        <f t="shared" si="28"/>
        <v>0.6</v>
      </c>
    </row>
    <row r="74" spans="5:17" ht="12.75">
      <c r="E74">
        <v>0.64</v>
      </c>
      <c r="F74">
        <f t="shared" si="32"/>
        <v>0.40266690987625914</v>
      </c>
      <c r="G74">
        <f t="shared" si="37"/>
        <v>307.11360386007004</v>
      </c>
      <c r="H74">
        <f t="shared" si="38"/>
        <v>307.11360386007004</v>
      </c>
      <c r="I74">
        <f t="shared" si="23"/>
        <v>0</v>
      </c>
      <c r="J74">
        <f t="shared" si="33"/>
        <v>19.24517391181543</v>
      </c>
      <c r="K74">
        <f t="shared" si="34"/>
        <v>95.58345253219126</v>
      </c>
      <c r="L74">
        <f t="shared" si="35"/>
        <v>91.74864585017234</v>
      </c>
      <c r="M74">
        <f t="shared" si="36"/>
        <v>1602.1607281586344</v>
      </c>
      <c r="N74">
        <f aca="true" t="shared" si="40" ref="N74:N110">SUM(H74:M74)</f>
        <v>2115.8516043128834</v>
      </c>
      <c r="O74">
        <f t="shared" si="39"/>
        <v>0</v>
      </c>
      <c r="P74">
        <f aca="true" t="shared" si="41" ref="P74:P110">H74+J74</f>
        <v>326.35877777188546</v>
      </c>
      <c r="Q74">
        <f t="shared" si="28"/>
        <v>0.6</v>
      </c>
    </row>
    <row r="75" spans="5:17" ht="12.75">
      <c r="E75">
        <v>0.65</v>
      </c>
      <c r="F75">
        <f aca="true" t="shared" si="42" ref="F75:F90">QLIN*COS(PI()*(E75-0.5))</f>
        <v>0.3965164865448033</v>
      </c>
      <c r="G75">
        <f t="shared" si="37"/>
        <v>307.9374907181985</v>
      </c>
      <c r="H75">
        <f t="shared" si="38"/>
        <v>307.9374907181985</v>
      </c>
      <c r="I75">
        <f aca="true" t="shared" si="43" ref="I75:I110">I74+O75</f>
        <v>0</v>
      </c>
      <c r="J75">
        <f aca="true" t="shared" si="44" ref="J75:J90">F75/2/PI()/HTCS/RPIN</f>
        <v>18.951218874185123</v>
      </c>
      <c r="K75">
        <f aca="true" t="shared" si="45" ref="K75:K90">F75/2/PI()/KC/(RF+TGAP)*(TGAP+TCLAD)</f>
        <v>94.12348976361972</v>
      </c>
      <c r="L75">
        <f aca="true" t="shared" si="46" ref="L75:L90">F75/2/PI()/HGAP/RF</f>
        <v>90.34725676597918</v>
      </c>
      <c r="M75">
        <f aca="true" t="shared" si="47" ref="M75:M90">F75/4/PI()/KF</f>
        <v>1577.6889712759114</v>
      </c>
      <c r="N75">
        <f t="shared" si="40"/>
        <v>2089.048427397894</v>
      </c>
      <c r="O75">
        <f t="shared" si="39"/>
        <v>0</v>
      </c>
      <c r="P75">
        <f t="shared" si="41"/>
        <v>326.88870959238363</v>
      </c>
      <c r="Q75">
        <f aca="true" t="shared" si="48" ref="Q75:Q110">$B$50*(1-$C$50*I75-$D$50*I75^2)</f>
        <v>0.6</v>
      </c>
    </row>
    <row r="76" spans="5:17" ht="12.75">
      <c r="E76">
        <v>0.66</v>
      </c>
      <c r="F76">
        <f t="shared" si="42"/>
        <v>0.38997474931314324</v>
      </c>
      <c r="G76">
        <f aca="true" t="shared" si="49" ref="G76:G91">+H75+F76/WPIN/Cp*(E76-E75)*LENGTH</f>
        <v>308.74778507382734</v>
      </c>
      <c r="H76">
        <f aca="true" t="shared" si="50" ref="H76:H91">IF(G76&gt;Tpsat,Tpsat,G76)</f>
        <v>308.74778507382734</v>
      </c>
      <c r="I76">
        <f t="shared" si="43"/>
        <v>0</v>
      </c>
      <c r="J76">
        <f t="shared" si="44"/>
        <v>18.638561271534375</v>
      </c>
      <c r="K76">
        <f t="shared" si="45"/>
        <v>92.57063847431809</v>
      </c>
      <c r="L76">
        <f t="shared" si="46"/>
        <v>88.85670584711447</v>
      </c>
      <c r="M76">
        <f t="shared" si="47"/>
        <v>1551.6602258552364</v>
      </c>
      <c r="N76">
        <f t="shared" si="40"/>
        <v>2060.473916522031</v>
      </c>
      <c r="O76">
        <f aca="true" t="shared" si="51" ref="O76:O91">IF(G76&gt;H76,F76*LENGTH*(E76-E75)/WPIN/hfg,0)</f>
        <v>0</v>
      </c>
      <c r="P76">
        <f t="shared" si="41"/>
        <v>327.38634634536174</v>
      </c>
      <c r="Q76">
        <f t="shared" si="48"/>
        <v>0.6</v>
      </c>
    </row>
    <row r="77" spans="5:17" ht="12.75">
      <c r="E77">
        <v>0.67</v>
      </c>
      <c r="F77">
        <f t="shared" si="42"/>
        <v>0.38304815408613324</v>
      </c>
      <c r="G77">
        <f t="shared" si="49"/>
        <v>309.5436872642556</v>
      </c>
      <c r="H77">
        <f t="shared" si="50"/>
        <v>309.5436872642556</v>
      </c>
      <c r="I77">
        <f t="shared" si="43"/>
        <v>0</v>
      </c>
      <c r="J77">
        <f t="shared" si="44"/>
        <v>18.307509659169398</v>
      </c>
      <c r="K77">
        <f t="shared" si="45"/>
        <v>90.92643114103095</v>
      </c>
      <c r="L77">
        <f t="shared" si="46"/>
        <v>87.2784640873788</v>
      </c>
      <c r="M77">
        <f t="shared" si="47"/>
        <v>1524.1001791258523</v>
      </c>
      <c r="N77">
        <f t="shared" si="40"/>
        <v>2030.156271277687</v>
      </c>
      <c r="O77">
        <f t="shared" si="51"/>
        <v>0</v>
      </c>
      <c r="P77">
        <f t="shared" si="41"/>
        <v>327.851196923425</v>
      </c>
      <c r="Q77">
        <f t="shared" si="48"/>
        <v>0.6</v>
      </c>
    </row>
    <row r="78" spans="5:17" ht="12.75">
      <c r="E78">
        <v>0.68</v>
      </c>
      <c r="F78">
        <f t="shared" si="42"/>
        <v>0.3757435365770042</v>
      </c>
      <c r="G78">
        <f t="shared" si="49"/>
        <v>310.3244118301117</v>
      </c>
      <c r="H78">
        <f t="shared" si="50"/>
        <v>310.3244118301117</v>
      </c>
      <c r="I78">
        <f t="shared" si="43"/>
        <v>0</v>
      </c>
      <c r="J78">
        <f t="shared" si="44"/>
        <v>17.958390745063245</v>
      </c>
      <c r="K78">
        <f t="shared" si="45"/>
        <v>89.19249039788868</v>
      </c>
      <c r="L78">
        <f t="shared" si="46"/>
        <v>85.61408902084553</v>
      </c>
      <c r="M78">
        <f t="shared" si="47"/>
        <v>1495.036029526515</v>
      </c>
      <c r="N78">
        <f t="shared" si="40"/>
        <v>1998.1254115204242</v>
      </c>
      <c r="O78">
        <f t="shared" si="51"/>
        <v>0</v>
      </c>
      <c r="P78">
        <f t="shared" si="41"/>
        <v>328.28280257517497</v>
      </c>
      <c r="Q78">
        <f t="shared" si="48"/>
        <v>0.6</v>
      </c>
    </row>
    <row r="79" spans="5:17" ht="12.75">
      <c r="E79">
        <v>0.69</v>
      </c>
      <c r="F79">
        <f t="shared" si="42"/>
        <v>0.3680681055613408</v>
      </c>
      <c r="G79">
        <f t="shared" si="49"/>
        <v>311.0891882905073</v>
      </c>
      <c r="H79">
        <f t="shared" si="50"/>
        <v>311</v>
      </c>
      <c r="I79">
        <f t="shared" si="43"/>
        <v>0.0023051772742419376</v>
      </c>
      <c r="J79">
        <f t="shared" si="44"/>
        <v>17.59154906743451</v>
      </c>
      <c r="K79">
        <f t="shared" si="45"/>
        <v>87.37052743506358</v>
      </c>
      <c r="L79">
        <f t="shared" si="46"/>
        <v>83.86522318476294</v>
      </c>
      <c r="M79">
        <f t="shared" si="47"/>
        <v>1464.4964598639228</v>
      </c>
      <c r="N79">
        <f t="shared" si="40"/>
        <v>1964.3260647284583</v>
      </c>
      <c r="O79">
        <f t="shared" si="51"/>
        <v>0.0023051772742419376</v>
      </c>
      <c r="P79">
        <f t="shared" si="41"/>
        <v>328.5915490674345</v>
      </c>
      <c r="Q79">
        <f t="shared" si="48"/>
        <v>0.5597821312074086</v>
      </c>
    </row>
    <row r="80" spans="5:17" ht="12.75">
      <c r="E80">
        <v>0.7</v>
      </c>
      <c r="F80">
        <f t="shared" si="42"/>
        <v>0.36002943576288904</v>
      </c>
      <c r="G80">
        <f t="shared" si="49"/>
        <v>311.7480736129012</v>
      </c>
      <c r="H80">
        <f t="shared" si="50"/>
        <v>311</v>
      </c>
      <c r="I80">
        <f t="shared" si="43"/>
        <v>0.004560009086178044</v>
      </c>
      <c r="J80">
        <f t="shared" si="44"/>
        <v>17.20734665472967</v>
      </c>
      <c r="K80">
        <f t="shared" si="45"/>
        <v>85.46234031003166</v>
      </c>
      <c r="L80">
        <f t="shared" si="46"/>
        <v>82.03359249856805</v>
      </c>
      <c r="M80">
        <f t="shared" si="47"/>
        <v>1432.5116090062447</v>
      </c>
      <c r="N80">
        <f t="shared" si="40"/>
        <v>1928.2194484786603</v>
      </c>
      <c r="O80">
        <f t="shared" si="51"/>
        <v>0.002254831811936107</v>
      </c>
      <c r="P80">
        <f t="shared" si="41"/>
        <v>328.2073466547297</v>
      </c>
      <c r="Q80">
        <f t="shared" si="48"/>
        <v>0.5229103203366415</v>
      </c>
    </row>
    <row r="81" spans="5:17" ht="12.75">
      <c r="E81">
        <v>0.71</v>
      </c>
      <c r="F81">
        <f t="shared" si="42"/>
        <v>0.35163546037821997</v>
      </c>
      <c r="G81">
        <f t="shared" si="49"/>
        <v>311.73063250706684</v>
      </c>
      <c r="H81">
        <f t="shared" si="50"/>
        <v>311</v>
      </c>
      <c r="I81">
        <f t="shared" si="43"/>
        <v>0.0067622701890390595</v>
      </c>
      <c r="J81">
        <f t="shared" si="44"/>
        <v>16.80616266834475</v>
      </c>
      <c r="K81">
        <f t="shared" si="45"/>
        <v>83.46981217310713</v>
      </c>
      <c r="L81">
        <f t="shared" si="46"/>
        <v>80.12100456061276</v>
      </c>
      <c r="M81">
        <f t="shared" si="47"/>
        <v>1399.1130421397004</v>
      </c>
      <c r="N81">
        <f t="shared" si="40"/>
        <v>1890.5167838119542</v>
      </c>
      <c r="O81">
        <f t="shared" si="51"/>
        <v>0.0022022611028610153</v>
      </c>
      <c r="P81">
        <f t="shared" si="41"/>
        <v>327.80616266834477</v>
      </c>
      <c r="Q81">
        <f t="shared" si="48"/>
        <v>0.48925392814359286</v>
      </c>
    </row>
    <row r="82" spans="5:17" ht="12.75">
      <c r="E82">
        <v>0.72</v>
      </c>
      <c r="F82">
        <f t="shared" si="42"/>
        <v>0.34289446324762124</v>
      </c>
      <c r="G82">
        <f t="shared" si="49"/>
        <v>311.71247035515836</v>
      </c>
      <c r="H82">
        <f t="shared" si="50"/>
        <v>311</v>
      </c>
      <c r="I82">
        <f t="shared" si="43"/>
        <v>0.008909787216998664</v>
      </c>
      <c r="J82">
        <f t="shared" si="44"/>
        <v>16.388393028438788</v>
      </c>
      <c r="K82">
        <f t="shared" si="45"/>
        <v>81.3949094090003</v>
      </c>
      <c r="L82">
        <f t="shared" si="46"/>
        <v>78.12934686428225</v>
      </c>
      <c r="M82">
        <f t="shared" si="47"/>
        <v>1364.333719617529</v>
      </c>
      <c r="N82">
        <f t="shared" si="40"/>
        <v>1851.2552787064674</v>
      </c>
      <c r="O82">
        <f t="shared" si="51"/>
        <v>0.002147517027959604</v>
      </c>
      <c r="P82">
        <f t="shared" si="41"/>
        <v>327.38839302843877</v>
      </c>
      <c r="Q82">
        <f t="shared" si="48"/>
        <v>0.45867606407455025</v>
      </c>
    </row>
    <row r="83" spans="5:17" ht="12.75">
      <c r="E83">
        <v>0.73</v>
      </c>
      <c r="F83">
        <f t="shared" si="42"/>
        <v>0.33381507067994726</v>
      </c>
      <c r="G83">
        <f t="shared" si="49"/>
        <v>311.69360508102693</v>
      </c>
      <c r="H83">
        <f t="shared" si="50"/>
        <v>311</v>
      </c>
      <c r="I83">
        <f t="shared" si="43"/>
        <v>0.011000440830023134</v>
      </c>
      <c r="J83">
        <f t="shared" si="44"/>
        <v>15.954450023208416</v>
      </c>
      <c r="K83">
        <f t="shared" si="45"/>
        <v>79.23967969623328</v>
      </c>
      <c r="L83">
        <f t="shared" si="46"/>
        <v>76.06058493526703</v>
      </c>
      <c r="M83">
        <f t="shared" si="47"/>
        <v>1328.2079644321007</v>
      </c>
      <c r="N83">
        <f t="shared" si="40"/>
        <v>1810.4736795276394</v>
      </c>
      <c r="O83">
        <f t="shared" si="51"/>
        <v>0.0020906536130244698</v>
      </c>
      <c r="P83">
        <f t="shared" si="41"/>
        <v>326.95445002320844</v>
      </c>
      <c r="Q83">
        <f t="shared" si="48"/>
        <v>0.4310343926887452</v>
      </c>
    </row>
    <row r="84" spans="5:17" ht="12.75">
      <c r="E84">
        <v>0.74</v>
      </c>
      <c r="F84">
        <f t="shared" si="42"/>
        <v>0.32440624293949405</v>
      </c>
      <c r="G84">
        <f t="shared" si="49"/>
        <v>311.6740553024205</v>
      </c>
      <c r="H84">
        <f t="shared" si="50"/>
        <v>311</v>
      </c>
      <c r="I84">
        <f t="shared" si="43"/>
        <v>0.013032167805404083</v>
      </c>
      <c r="J84">
        <f t="shared" si="44"/>
        <v>15.504761902009234</v>
      </c>
      <c r="K84">
        <f t="shared" si="45"/>
        <v>77.00624998632853</v>
      </c>
      <c r="L84">
        <f t="shared" si="46"/>
        <v>73.91676039182641</v>
      </c>
      <c r="M84">
        <f t="shared" si="47"/>
        <v>1290.7714283422686</v>
      </c>
      <c r="N84">
        <f t="shared" si="40"/>
        <v>1768.2122327902382</v>
      </c>
      <c r="O84">
        <f t="shared" si="51"/>
        <v>0.002031726975380949</v>
      </c>
      <c r="P84">
        <f t="shared" si="41"/>
        <v>326.50476190200925</v>
      </c>
      <c r="Q84">
        <f t="shared" si="48"/>
        <v>0.4061819549526971</v>
      </c>
    </row>
    <row r="85" spans="5:17" ht="12.75">
      <c r="E85">
        <v>0.75</v>
      </c>
      <c r="F85">
        <f t="shared" si="42"/>
        <v>0.3146772654033</v>
      </c>
      <c r="G85">
        <f t="shared" si="49"/>
        <v>311.65384031261027</v>
      </c>
      <c r="H85">
        <f t="shared" si="50"/>
        <v>311</v>
      </c>
      <c r="I85">
        <f t="shared" si="43"/>
        <v>0.015002963073910181</v>
      </c>
      <c r="J85">
        <f t="shared" si="44"/>
        <v>15.039772452725366</v>
      </c>
      <c r="K85">
        <f t="shared" si="45"/>
        <v>74.69682440476454</v>
      </c>
      <c r="L85">
        <f t="shared" si="46"/>
        <v>71.69998892995771</v>
      </c>
      <c r="M85">
        <f t="shared" si="47"/>
        <v>1252.0610566893863</v>
      </c>
      <c r="N85">
        <f t="shared" si="40"/>
        <v>1724.5126454399078</v>
      </c>
      <c r="O85">
        <f t="shared" si="51"/>
        <v>0.001970795268506099</v>
      </c>
      <c r="P85">
        <f t="shared" si="41"/>
        <v>326.03977245272534</v>
      </c>
      <c r="Q85">
        <f t="shared" si="48"/>
        <v>0.38396800090892375</v>
      </c>
    </row>
    <row r="86" spans="5:17" ht="12.75">
      <c r="E86">
        <v>0.76</v>
      </c>
      <c r="F86">
        <f t="shared" si="42"/>
        <v>0.3046377393975994</v>
      </c>
      <c r="G86">
        <f t="shared" si="49"/>
        <v>311.63298006135057</v>
      </c>
      <c r="H86">
        <f t="shared" si="50"/>
        <v>311</v>
      </c>
      <c r="I86">
        <f t="shared" si="43"/>
        <v>0.01691088169854841</v>
      </c>
      <c r="J86">
        <f t="shared" si="44"/>
        <v>14.55994056380438</v>
      </c>
      <c r="K86">
        <f t="shared" si="45"/>
        <v>72.3136820757699</v>
      </c>
      <c r="L86">
        <f t="shared" si="46"/>
        <v>69.41245823545967</v>
      </c>
      <c r="M86">
        <f t="shared" si="47"/>
        <v>1212.1150519367145</v>
      </c>
      <c r="N86">
        <f t="shared" si="40"/>
        <v>1679.418043693447</v>
      </c>
      <c r="O86">
        <f t="shared" si="51"/>
        <v>0.0019079186246382285</v>
      </c>
      <c r="P86">
        <f t="shared" si="41"/>
        <v>325.5599405638044</v>
      </c>
      <c r="Q86">
        <f t="shared" si="48"/>
        <v>0.3642388301834805</v>
      </c>
    </row>
    <row r="87" spans="5:17" ht="12.75">
      <c r="E87">
        <v>0.77</v>
      </c>
      <c r="F87">
        <f t="shared" si="42"/>
        <v>0.29429757272247353</v>
      </c>
      <c r="G87">
        <f t="shared" si="49"/>
        <v>311.6114951351909</v>
      </c>
      <c r="H87">
        <f t="shared" si="50"/>
        <v>311</v>
      </c>
      <c r="I87">
        <f t="shared" si="43"/>
        <v>0.018754040793982057</v>
      </c>
      <c r="J87">
        <f t="shared" si="44"/>
        <v>14.065739771389854</v>
      </c>
      <c r="K87">
        <f t="shared" si="45"/>
        <v>69.85917487310314</v>
      </c>
      <c r="L87">
        <f t="shared" si="46"/>
        <v>67.0564258249509</v>
      </c>
      <c r="M87">
        <f t="shared" si="47"/>
        <v>1170.9728359682051</v>
      </c>
      <c r="N87">
        <f t="shared" si="40"/>
        <v>1632.972930478443</v>
      </c>
      <c r="O87">
        <f t="shared" si="51"/>
        <v>0.0018431590954336478</v>
      </c>
      <c r="P87">
        <f t="shared" si="41"/>
        <v>325.0657397713899</v>
      </c>
      <c r="Q87">
        <f t="shared" si="48"/>
        <v>0.34683863677288534</v>
      </c>
    </row>
    <row r="88" spans="5:17" ht="12.75">
      <c r="E88">
        <v>0.78</v>
      </c>
      <c r="F88">
        <f t="shared" si="42"/>
        <v>0.28366696987404705</v>
      </c>
      <c r="G88">
        <f t="shared" si="49"/>
        <v>311.58940673715955</v>
      </c>
      <c r="H88">
        <f t="shared" si="50"/>
        <v>311</v>
      </c>
      <c r="I88">
        <f t="shared" si="43"/>
        <v>0.020530621384711224</v>
      </c>
      <c r="J88">
        <f t="shared" si="44"/>
        <v>13.557657791998304</v>
      </c>
      <c r="K88">
        <f t="shared" si="45"/>
        <v>67.33572509903703</v>
      </c>
      <c r="L88">
        <f t="shared" si="46"/>
        <v>64.6342168179733</v>
      </c>
      <c r="M88">
        <f t="shared" si="47"/>
        <v>1128.6750111838585</v>
      </c>
      <c r="N88">
        <f t="shared" si="40"/>
        <v>1585.223141514252</v>
      </c>
      <c r="O88">
        <f t="shared" si="51"/>
        <v>0.001776580590729168</v>
      </c>
      <c r="P88">
        <f t="shared" si="41"/>
        <v>324.5576577919983</v>
      </c>
      <c r="Q88">
        <f t="shared" si="48"/>
        <v>0.33161035454136484</v>
      </c>
    </row>
    <row r="89" spans="5:17" ht="12.75">
      <c r="E89">
        <v>0.79</v>
      </c>
      <c r="F89">
        <f t="shared" si="42"/>
        <v>0.2727564219738832</v>
      </c>
      <c r="G89">
        <f t="shared" si="49"/>
        <v>311.56673666583856</v>
      </c>
      <c r="H89">
        <f t="shared" si="50"/>
        <v>311</v>
      </c>
      <c r="I89">
        <f t="shared" si="43"/>
        <v>0.02223887020018204</v>
      </c>
      <c r="J89">
        <f t="shared" si="44"/>
        <v>13.036196041201917</v>
      </c>
      <c r="K89">
        <f t="shared" si="45"/>
        <v>64.74582309383877</v>
      </c>
      <c r="L89">
        <f t="shared" si="46"/>
        <v>62.148221642379916</v>
      </c>
      <c r="M89">
        <f t="shared" si="47"/>
        <v>1085.2633204300594</v>
      </c>
      <c r="N89">
        <f t="shared" si="40"/>
        <v>1536.2158000776801</v>
      </c>
      <c r="O89">
        <f t="shared" si="51"/>
        <v>0.0017082488154708132</v>
      </c>
      <c r="P89">
        <f t="shared" si="41"/>
        <v>324.0361960412019</v>
      </c>
      <c r="Q89">
        <f t="shared" si="48"/>
        <v>0.3183964998640541</v>
      </c>
    </row>
    <row r="90" spans="5:17" ht="12.75">
      <c r="E90">
        <v>0.8</v>
      </c>
      <c r="F90">
        <f t="shared" si="42"/>
        <v>0.26157669641551307</v>
      </c>
      <c r="G90">
        <f t="shared" si="49"/>
        <v>311.5435072938513</v>
      </c>
      <c r="H90">
        <f t="shared" si="50"/>
        <v>311</v>
      </c>
      <c r="I90">
        <f t="shared" si="43"/>
        <v>0.023877101405053006</v>
      </c>
      <c r="J90">
        <f t="shared" si="44"/>
        <v>12.501869138791882</v>
      </c>
      <c r="K90">
        <f t="shared" si="45"/>
        <v>62.09202477810485</v>
      </c>
      <c r="L90">
        <f t="shared" si="46"/>
        <v>59.60089367527124</v>
      </c>
      <c r="M90">
        <f t="shared" si="47"/>
        <v>1040.780605804424</v>
      </c>
      <c r="N90">
        <f t="shared" si="40"/>
        <v>1485.9992704979973</v>
      </c>
      <c r="O90">
        <f t="shared" si="51"/>
        <v>0.0016382312048709676</v>
      </c>
      <c r="P90">
        <f t="shared" si="41"/>
        <v>323.5018691387919</v>
      </c>
      <c r="Q90">
        <f t="shared" si="48"/>
        <v>0.30704000787077007</v>
      </c>
    </row>
    <row r="91" spans="5:17" ht="12.75">
      <c r="E91">
        <v>0.81</v>
      </c>
      <c r="F91">
        <f aca="true" t="shared" si="52" ref="F91:F106">QLIN*COS(PI()*(E91-0.5))</f>
        <v>0.25013882623831807</v>
      </c>
      <c r="G91">
        <f t="shared" si="49"/>
        <v>311.51974154578346</v>
      </c>
      <c r="H91">
        <f t="shared" si="50"/>
        <v>311</v>
      </c>
      <c r="I91">
        <f t="shared" si="43"/>
        <v>0.02544369826291097</v>
      </c>
      <c r="J91">
        <f aca="true" t="shared" si="53" ref="J91:J106">F91/2/PI()/HTCS/RPIN</f>
        <v>11.955204400910816</v>
      </c>
      <c r="K91">
        <f aca="true" t="shared" si="54" ref="K91:K106">F91/2/PI()/KC/(RF+TGAP)*(TGAP+TCLAD)</f>
        <v>59.37694913037594</v>
      </c>
      <c r="L91">
        <f aca="true" t="shared" si="55" ref="L91:L106">F91/2/PI()/HGAP/RF</f>
        <v>56.99474682180818</v>
      </c>
      <c r="M91">
        <f aca="true" t="shared" si="56" ref="M91:M106">F91/4/PI()/KF</f>
        <v>995.2707663758252</v>
      </c>
      <c r="N91">
        <f t="shared" si="40"/>
        <v>1434.623110427183</v>
      </c>
      <c r="O91">
        <f t="shared" si="51"/>
        <v>0.0015665968578579643</v>
      </c>
      <c r="P91">
        <f t="shared" si="41"/>
        <v>322.9552044009108</v>
      </c>
      <c r="Q91">
        <f t="shared" si="48"/>
        <v>0.2973850587781766</v>
      </c>
    </row>
    <row r="92" spans="5:17" ht="12.75">
      <c r="E92">
        <v>0.82</v>
      </c>
      <c r="F92">
        <f t="shared" si="52"/>
        <v>0.23845409923925243</v>
      </c>
      <c r="G92">
        <f aca="true" t="shared" si="57" ref="G92:G107">+H91+F92/WPIN/Cp*(E92-E91)*LENGTH</f>
        <v>311.4954628755591</v>
      </c>
      <c r="H92">
        <f aca="true" t="shared" si="58" ref="H92:H107">IF(G92&gt;Tpsat,Tpsat,G92)</f>
        <v>311</v>
      </c>
      <c r="I92">
        <f t="shared" si="43"/>
        <v>0.02693711473179474</v>
      </c>
      <c r="J92">
        <f t="shared" si="53"/>
        <v>11.396741319655373</v>
      </c>
      <c r="K92">
        <f t="shared" si="54"/>
        <v>56.603275602521315</v>
      </c>
      <c r="L92">
        <f t="shared" si="55"/>
        <v>54.332353034291174</v>
      </c>
      <c r="M92">
        <f t="shared" si="56"/>
        <v>948.7787148613096</v>
      </c>
      <c r="N92">
        <f t="shared" si="40"/>
        <v>1382.1380219325092</v>
      </c>
      <c r="O92">
        <f aca="true" t="shared" si="59" ref="O92:O107">IF(G92&gt;H92,F92*LENGTH*(E92-E91)/WPIN/hfg,0)</f>
        <v>0.00149341646888377</v>
      </c>
      <c r="P92">
        <f t="shared" si="41"/>
        <v>322.39674131965535</v>
      </c>
      <c r="Q92">
        <f t="shared" si="48"/>
        <v>0.2892778908454242</v>
      </c>
    </row>
    <row r="93" spans="5:17" ht="12.75">
      <c r="E93">
        <v>0.83</v>
      </c>
      <c r="F93">
        <f t="shared" si="52"/>
        <v>0.22653404683314982</v>
      </c>
      <c r="G93">
        <f t="shared" si="57"/>
        <v>311.4706952432945</v>
      </c>
      <c r="H93">
        <f t="shared" si="58"/>
        <v>311</v>
      </c>
      <c r="I93">
        <f t="shared" si="43"/>
        <v>0.028355876989951918</v>
      </c>
      <c r="J93">
        <f t="shared" si="53"/>
        <v>10.827031030662678</v>
      </c>
      <c r="K93">
        <f t="shared" si="54"/>
        <v>53.77374147544326</v>
      </c>
      <c r="L93">
        <f t="shared" si="55"/>
        <v>51.61633977395377</v>
      </c>
      <c r="M93">
        <f t="shared" si="56"/>
        <v>901.3503333026678</v>
      </c>
      <c r="N93">
        <f t="shared" si="40"/>
        <v>1328.5958014597174</v>
      </c>
      <c r="O93">
        <f t="shared" si="59"/>
        <v>0.0014187622581571752</v>
      </c>
      <c r="P93">
        <f t="shared" si="41"/>
        <v>321.8270310306627</v>
      </c>
      <c r="Q93">
        <f t="shared" si="48"/>
        <v>0.28256759654949376</v>
      </c>
    </row>
    <row r="94" spans="5:17" ht="12.75">
      <c r="E94">
        <v>0.84</v>
      </c>
      <c r="F94">
        <f t="shared" si="52"/>
        <v>0.2143904326726098</v>
      </c>
      <c r="G94">
        <f t="shared" si="57"/>
        <v>311.44546309165247</v>
      </c>
      <c r="H94">
        <f t="shared" si="58"/>
        <v>311</v>
      </c>
      <c r="I94">
        <f t="shared" si="43"/>
        <v>0.029698584890322923</v>
      </c>
      <c r="J94">
        <f t="shared" si="53"/>
        <v>10.246635769206016</v>
      </c>
      <c r="K94">
        <f t="shared" si="54"/>
        <v>50.89113915771142</v>
      </c>
      <c r="L94">
        <f t="shared" si="55"/>
        <v>48.849387417975706</v>
      </c>
      <c r="M94">
        <f t="shared" si="56"/>
        <v>853.0324277864007</v>
      </c>
      <c r="N94">
        <f t="shared" si="40"/>
        <v>1274.0492887161843</v>
      </c>
      <c r="O94">
        <f t="shared" si="59"/>
        <v>0.001342707900371006</v>
      </c>
      <c r="P94">
        <f t="shared" si="41"/>
        <v>321.246635769206</v>
      </c>
      <c r="Q94">
        <f t="shared" si="48"/>
        <v>0.27710689865123944</v>
      </c>
    </row>
    <row r="95" spans="5:17" ht="12.75">
      <c r="E95">
        <v>0.85</v>
      </c>
      <c r="F95">
        <f t="shared" si="52"/>
        <v>0.20203524103869253</v>
      </c>
      <c r="G95">
        <f t="shared" si="57"/>
        <v>311.4197913217204</v>
      </c>
      <c r="H95">
        <f t="shared" si="58"/>
        <v>311</v>
      </c>
      <c r="I95">
        <f t="shared" si="43"/>
        <v>0.030963913342317184</v>
      </c>
      <c r="J95">
        <f t="shared" si="53"/>
        <v>9.656128315336476</v>
      </c>
      <c r="K95">
        <f t="shared" si="54"/>
        <v>47.9583134297926</v>
      </c>
      <c r="L95">
        <f t="shared" si="55"/>
        <v>46.034226614274104</v>
      </c>
      <c r="M95">
        <f t="shared" si="56"/>
        <v>803.8726822517615</v>
      </c>
      <c r="N95">
        <f t="shared" si="40"/>
        <v>1218.552314524507</v>
      </c>
      <c r="O95">
        <f t="shared" si="59"/>
        <v>0.0012653284519942598</v>
      </c>
      <c r="P95">
        <f t="shared" si="41"/>
        <v>320.6561283153365</v>
      </c>
      <c r="Q95">
        <f t="shared" si="48"/>
        <v>0.27275290291121745</v>
      </c>
    </row>
    <row r="96" spans="5:17" ht="12.75">
      <c r="E96">
        <v>0.86</v>
      </c>
      <c r="F96">
        <f t="shared" si="52"/>
        <v>0.18948066501388036</v>
      </c>
      <c r="G96">
        <f t="shared" si="57"/>
        <v>311.3937052684359</v>
      </c>
      <c r="H96">
        <f t="shared" si="58"/>
        <v>311</v>
      </c>
      <c r="I96">
        <f t="shared" si="43"/>
        <v>0.032150613619517536</v>
      </c>
      <c r="J96">
        <f t="shared" si="53"/>
        <v>9.056091428618203</v>
      </c>
      <c r="K96">
        <f t="shared" si="54"/>
        <v>44.97815863659594</v>
      </c>
      <c r="L96">
        <f t="shared" si="55"/>
        <v>43.17363558668377</v>
      </c>
      <c r="M96">
        <f t="shared" si="56"/>
        <v>753.9196114324653</v>
      </c>
      <c r="N96">
        <f t="shared" si="40"/>
        <v>1162.1596476979828</v>
      </c>
      <c r="O96">
        <f t="shared" si="59"/>
        <v>0.001186700277200351</v>
      </c>
      <c r="P96">
        <f t="shared" si="41"/>
        <v>320.0560914286182</v>
      </c>
      <c r="Q96">
        <f t="shared" si="48"/>
        <v>0.2693678243154459</v>
      </c>
    </row>
    <row r="97" spans="5:17" ht="12.75">
      <c r="E97">
        <v>0.87</v>
      </c>
      <c r="F97">
        <f t="shared" si="52"/>
        <v>0.17673909444897737</v>
      </c>
      <c r="G97">
        <f t="shared" si="57"/>
        <v>311.367230675584</v>
      </c>
      <c r="H97">
        <f t="shared" si="58"/>
        <v>311</v>
      </c>
      <c r="I97">
        <f t="shared" si="43"/>
        <v>0.03325751459202244</v>
      </c>
      <c r="J97">
        <f t="shared" si="53"/>
        <v>8.447117273015047</v>
      </c>
      <c r="K97">
        <f t="shared" si="54"/>
        <v>41.95361583110386</v>
      </c>
      <c r="L97">
        <f t="shared" si="55"/>
        <v>40.270437393185546</v>
      </c>
      <c r="M97">
        <f t="shared" si="56"/>
        <v>703.2225129785027</v>
      </c>
      <c r="N97">
        <f t="shared" si="40"/>
        <v>1104.926940990399</v>
      </c>
      <c r="O97">
        <f t="shared" si="59"/>
        <v>0.0011069009725049059</v>
      </c>
      <c r="P97">
        <f t="shared" si="41"/>
        <v>319.44711727301507</v>
      </c>
      <c r="Q97">
        <f t="shared" si="48"/>
        <v>0.2668196837848566</v>
      </c>
    </row>
    <row r="98" spans="5:17" ht="12.75">
      <c r="E98">
        <v>0.88</v>
      </c>
      <c r="F98">
        <f t="shared" si="52"/>
        <v>0.1638231037358228</v>
      </c>
      <c r="G98">
        <f t="shared" si="57"/>
        <v>311.34039367039156</v>
      </c>
      <c r="H98">
        <f t="shared" si="58"/>
        <v>311</v>
      </c>
      <c r="I98">
        <f t="shared" si="43"/>
        <v>0.034283523882209815</v>
      </c>
      <c r="J98">
        <f t="shared" si="53"/>
        <v>7.82980683249626</v>
      </c>
      <c r="K98">
        <f t="shared" si="54"/>
        <v>38.88766987190791</v>
      </c>
      <c r="L98">
        <f t="shared" si="55"/>
        <v>37.327497139889104</v>
      </c>
      <c r="M98">
        <f t="shared" si="56"/>
        <v>651.8314188053135</v>
      </c>
      <c r="N98">
        <f t="shared" si="40"/>
        <v>1046.910676173489</v>
      </c>
      <c r="O98">
        <f t="shared" si="59"/>
        <v>0.0010260092901873729</v>
      </c>
      <c r="P98">
        <f t="shared" si="41"/>
        <v>318.8298068324963</v>
      </c>
      <c r="Q98">
        <f t="shared" si="48"/>
        <v>0.26498297246791547</v>
      </c>
    </row>
    <row r="99" spans="5:17" ht="12.75">
      <c r="E99">
        <v>0.89</v>
      </c>
      <c r="F99">
        <f t="shared" si="52"/>
        <v>0.15074543939788387</v>
      </c>
      <c r="G99">
        <f t="shared" si="57"/>
        <v>311.3132207377427</v>
      </c>
      <c r="H99">
        <f t="shared" si="58"/>
        <v>311</v>
      </c>
      <c r="I99">
        <f t="shared" si="43"/>
        <v>0.03522762894278184</v>
      </c>
      <c r="J99">
        <f t="shared" si="53"/>
        <v>7.204769317937829</v>
      </c>
      <c r="K99">
        <f t="shared" si="54"/>
        <v>35.78334647751366</v>
      </c>
      <c r="L99">
        <f t="shared" si="55"/>
        <v>34.34771915351892</v>
      </c>
      <c r="M99">
        <f t="shared" si="56"/>
        <v>599.7970457183242</v>
      </c>
      <c r="N99">
        <f t="shared" si="40"/>
        <v>988.1681082962373</v>
      </c>
      <c r="O99">
        <f t="shared" si="59"/>
        <v>0.0009441050605720271</v>
      </c>
      <c r="P99">
        <f t="shared" si="41"/>
        <v>318.2047693179378</v>
      </c>
      <c r="Q99">
        <f t="shared" si="48"/>
        <v>0.2637392808532039</v>
      </c>
    </row>
    <row r="100" spans="5:17" ht="12.75">
      <c r="E100">
        <v>0.9</v>
      </c>
      <c r="F100">
        <f t="shared" si="52"/>
        <v>0.1375190075109767</v>
      </c>
      <c r="G100">
        <f t="shared" si="57"/>
        <v>311.2857386940413</v>
      </c>
      <c r="H100">
        <f t="shared" si="58"/>
        <v>311</v>
      </c>
      <c r="I100">
        <f t="shared" si="43"/>
        <v>0.03608889805602693</v>
      </c>
      <c r="J100">
        <f t="shared" si="53"/>
        <v>6.5726215659049325</v>
      </c>
      <c r="K100">
        <f t="shared" si="54"/>
        <v>32.64370924032187</v>
      </c>
      <c r="L100">
        <f t="shared" si="55"/>
        <v>31.334044115194594</v>
      </c>
      <c r="M100">
        <f t="shared" si="56"/>
        <v>547.1707453615855</v>
      </c>
      <c r="N100">
        <f t="shared" si="40"/>
        <v>928.757209181063</v>
      </c>
      <c r="O100">
        <f t="shared" si="59"/>
        <v>0.0008612691132450822</v>
      </c>
      <c r="P100">
        <f t="shared" si="41"/>
        <v>317.5726215659049</v>
      </c>
      <c r="Q100">
        <f t="shared" si="48"/>
        <v>0.2629778900871082</v>
      </c>
    </row>
    <row r="101" spans="5:17" ht="12.75">
      <c r="E101">
        <v>0.91</v>
      </c>
      <c r="F101">
        <f t="shared" si="52"/>
        <v>0.1241568609665272</v>
      </c>
      <c r="G101">
        <f t="shared" si="57"/>
        <v>311.2579746607465</v>
      </c>
      <c r="H101">
        <f t="shared" si="58"/>
        <v>311</v>
      </c>
      <c r="I101">
        <f t="shared" si="43"/>
        <v>0.03686648125331257</v>
      </c>
      <c r="J101">
        <f t="shared" si="53"/>
        <v>5.93398742990871</v>
      </c>
      <c r="K101">
        <f t="shared" si="54"/>
        <v>29.47185660323267</v>
      </c>
      <c r="L101">
        <f t="shared" si="55"/>
        <v>28.28944615833357</v>
      </c>
      <c r="M101">
        <f t="shared" si="56"/>
        <v>494.00445353989994</v>
      </c>
      <c r="N101">
        <f t="shared" si="40"/>
        <v>868.7366102126282</v>
      </c>
      <c r="O101">
        <f t="shared" si="59"/>
        <v>0.0007775831972856444</v>
      </c>
      <c r="P101">
        <f t="shared" si="41"/>
        <v>316.9339874299087</v>
      </c>
      <c r="Q101">
        <f t="shared" si="48"/>
        <v>0.26259632304057706</v>
      </c>
    </row>
    <row r="102" spans="5:17" ht="12.75">
      <c r="E102">
        <v>0.92</v>
      </c>
      <c r="F102">
        <f t="shared" si="52"/>
        <v>0.11067218658994318</v>
      </c>
      <c r="G102">
        <f t="shared" si="57"/>
        <v>311.2299560376073</v>
      </c>
      <c r="H102">
        <f t="shared" si="58"/>
        <v>311</v>
      </c>
      <c r="I102">
        <f t="shared" si="43"/>
        <v>0.037559611153901815</v>
      </c>
      <c r="J102">
        <f t="shared" si="53"/>
        <v>5.2894971647381475</v>
      </c>
      <c r="K102">
        <f t="shared" si="54"/>
        <v>26.270918801856435</v>
      </c>
      <c r="L102">
        <f t="shared" si="55"/>
        <v>25.216929933540488</v>
      </c>
      <c r="M102">
        <f t="shared" si="56"/>
        <v>440.3506389644507</v>
      </c>
      <c r="N102">
        <f t="shared" si="40"/>
        <v>808.1655444757396</v>
      </c>
      <c r="O102">
        <f t="shared" si="59"/>
        <v>0.000693129900589243</v>
      </c>
      <c r="P102">
        <f t="shared" si="41"/>
        <v>316.2894971647381</v>
      </c>
      <c r="Q102">
        <f t="shared" si="48"/>
        <v>0.2625008528375207</v>
      </c>
    </row>
    <row r="103" spans="5:17" ht="12.75">
      <c r="E103">
        <v>0.93</v>
      </c>
      <c r="F103">
        <f t="shared" si="52"/>
        <v>0.09707829212680993</v>
      </c>
      <c r="G103">
        <f t="shared" si="57"/>
        <v>311.2017104756218</v>
      </c>
      <c r="H103">
        <f t="shared" si="58"/>
        <v>311</v>
      </c>
      <c r="I103">
        <f t="shared" si="43"/>
        <v>0.03816760372226536</v>
      </c>
      <c r="J103">
        <f t="shared" si="53"/>
        <v>4.639786804474722</v>
      </c>
      <c r="K103">
        <f t="shared" si="54"/>
        <v>23.044054775349245</v>
      </c>
      <c r="L103">
        <f t="shared" si="55"/>
        <v>22.11952764337985</v>
      </c>
      <c r="M103">
        <f t="shared" si="56"/>
        <v>386.26225147252063</v>
      </c>
      <c r="N103">
        <f t="shared" si="40"/>
        <v>747.1037882994467</v>
      </c>
      <c r="O103">
        <f t="shared" si="59"/>
        <v>0.000607992568363547</v>
      </c>
      <c r="P103">
        <f t="shared" si="41"/>
        <v>315.63978680447474</v>
      </c>
      <c r="Q103">
        <f t="shared" si="48"/>
        <v>0.2626069667351958</v>
      </c>
    </row>
    <row r="104" spans="5:17" ht="12.75">
      <c r="E104">
        <v>0.94</v>
      </c>
      <c r="F104">
        <f t="shared" si="52"/>
        <v>0.08338859310975194</v>
      </c>
      <c r="G104">
        <f t="shared" si="57"/>
        <v>311.17326584974967</v>
      </c>
      <c r="H104">
        <f t="shared" si="58"/>
        <v>311</v>
      </c>
      <c r="I104">
        <f t="shared" si="43"/>
        <v>0.038689858943142065</v>
      </c>
      <c r="J104">
        <f t="shared" si="53"/>
        <v>3.9854975348035397</v>
      </c>
      <c r="K104">
        <f t="shared" si="54"/>
        <v>19.79444904892127</v>
      </c>
      <c r="L104">
        <f t="shared" si="55"/>
        <v>19.000296049958173</v>
      </c>
      <c r="M104">
        <f t="shared" si="56"/>
        <v>331.7926697723946</v>
      </c>
      <c r="N104">
        <f t="shared" si="40"/>
        <v>685.6116022650208</v>
      </c>
      <c r="O104">
        <f t="shared" si="59"/>
        <v>0.0005222552208767038</v>
      </c>
      <c r="P104">
        <f t="shared" si="41"/>
        <v>314.9854975348035</v>
      </c>
      <c r="Q104">
        <f t="shared" si="48"/>
        <v>0.262839783433098</v>
      </c>
    </row>
    <row r="105" spans="5:17" ht="12.75">
      <c r="E105">
        <v>0.95</v>
      </c>
      <c r="F105">
        <f t="shared" si="52"/>
        <v>0.06961659961892129</v>
      </c>
      <c r="G105">
        <f t="shared" si="57"/>
        <v>311.1446502314025</v>
      </c>
      <c r="H105">
        <f t="shared" si="58"/>
        <v>311</v>
      </c>
      <c r="I105">
        <f t="shared" si="43"/>
        <v>0.039125861413681566</v>
      </c>
      <c r="J105">
        <f t="shared" si="53"/>
        <v>3.3272750602404453</v>
      </c>
      <c r="K105">
        <f t="shared" si="54"/>
        <v>16.525308591094767</v>
      </c>
      <c r="L105">
        <f t="shared" si="55"/>
        <v>15.862313458268689</v>
      </c>
      <c r="M105">
        <f t="shared" si="56"/>
        <v>276.995648765017</v>
      </c>
      <c r="N105">
        <f t="shared" si="40"/>
        <v>623.7496717360345</v>
      </c>
      <c r="O105">
        <f t="shared" si="59"/>
        <v>0.00043600247053950266</v>
      </c>
      <c r="P105">
        <f t="shared" si="41"/>
        <v>314.3272750602404</v>
      </c>
      <c r="Q105">
        <f t="shared" si="48"/>
        <v>0.2631344220807597</v>
      </c>
    </row>
    <row r="106" spans="5:17" ht="12.75">
      <c r="E106">
        <v>0.96</v>
      </c>
      <c r="F106">
        <f t="shared" si="52"/>
        <v>0.055775902949180695</v>
      </c>
      <c r="G106">
        <f t="shared" si="57"/>
        <v>311.1158918607408</v>
      </c>
      <c r="H106">
        <f t="shared" si="58"/>
        <v>311</v>
      </c>
      <c r="I106">
        <f t="shared" si="43"/>
        <v>0.03947518085208466</v>
      </c>
      <c r="J106">
        <f t="shared" si="53"/>
        <v>2.6657689668996793</v>
      </c>
      <c r="K106">
        <f t="shared" si="54"/>
        <v>13.239859648813535</v>
      </c>
      <c r="L106">
        <f t="shared" si="55"/>
        <v>12.708676678276207</v>
      </c>
      <c r="M106">
        <f t="shared" si="56"/>
        <v>221.92526649439827</v>
      </c>
      <c r="N106">
        <f t="shared" si="40"/>
        <v>561.5790469692398</v>
      </c>
      <c r="O106">
        <f t="shared" si="59"/>
        <v>0.00034931943840308945</v>
      </c>
      <c r="P106">
        <f t="shared" si="41"/>
        <v>313.6657689668997</v>
      </c>
      <c r="Q106">
        <f t="shared" si="48"/>
        <v>0.26343632145562607</v>
      </c>
    </row>
    <row r="107" spans="5:17" ht="12.75">
      <c r="E107">
        <v>0.97</v>
      </c>
      <c r="F107">
        <f>QLIN*COS(PI()*(E107-0.5))</f>
        <v>0.04188016219713562</v>
      </c>
      <c r="G107">
        <f t="shared" si="57"/>
        <v>311.0870191188043</v>
      </c>
      <c r="H107">
        <f t="shared" si="58"/>
        <v>311</v>
      </c>
      <c r="I107">
        <f t="shared" si="43"/>
        <v>0.03973747252223948</v>
      </c>
      <c r="J107">
        <f>F107/2/PI()/HTCS/RPIN</f>
        <v>2.0016320814307704</v>
      </c>
      <c r="K107">
        <f>F107/2/PI()/KC/(RF+TGAP)*(TGAP+TCLAD)</f>
        <v>9.941344563526547</v>
      </c>
      <c r="L107">
        <f>F107/2/PI()/HGAP/RF</f>
        <v>9.542497968739392</v>
      </c>
      <c r="M107">
        <f>F107/4/PI()/KF</f>
        <v>166.63587077911163</v>
      </c>
      <c r="N107">
        <f t="shared" si="40"/>
        <v>499.1610828653306</v>
      </c>
      <c r="O107">
        <f t="shared" si="59"/>
        <v>0.00026229167015481917</v>
      </c>
      <c r="P107">
        <f t="shared" si="41"/>
        <v>313.0016320814308</v>
      </c>
      <c r="Q107">
        <f t="shared" si="48"/>
        <v>0.2637015079890664</v>
      </c>
    </row>
    <row r="108" spans="5:17" ht="12.75">
      <c r="E108">
        <v>0.98</v>
      </c>
      <c r="F108">
        <f>QLIN*COS(PI()*(E108-0.5))</f>
        <v>0.027943090781255238</v>
      </c>
      <c r="G108">
        <f>+H107+F108/WPIN/Cp*(E108-E107)*LENGTH</f>
        <v>311.0580604995035</v>
      </c>
      <c r="H108">
        <f>IF(G108&gt;Tpsat,Tpsat,G108)</f>
        <v>311</v>
      </c>
      <c r="I108">
        <f t="shared" si="43"/>
        <v>0.03991247757393444</v>
      </c>
      <c r="J108">
        <f>F108/2/PI()/HTCS/RPIN</f>
        <v>1.3355198267574604</v>
      </c>
      <c r="K108">
        <f>F108/2/PI()/KC/(RF+TGAP)*(TGAP+TCLAD)</f>
        <v>6.633018571388438</v>
      </c>
      <c r="L108">
        <f>F108/2/PI()/HGAP/RF</f>
        <v>6.366901965787176</v>
      </c>
      <c r="M108">
        <f>F108/4/PI()/KF</f>
        <v>111.18202557755856</v>
      </c>
      <c r="N108">
        <f t="shared" si="40"/>
        <v>436.55737841906557</v>
      </c>
      <c r="O108">
        <f>IF(G108&gt;H108,F108*LENGTH*(E108-E107)/WPIN/hfg,0)</f>
        <v>0.0001750050516949633</v>
      </c>
      <c r="P108">
        <f t="shared" si="41"/>
        <v>312.33551982675743</v>
      </c>
      <c r="Q108">
        <f t="shared" si="48"/>
        <v>0.2638968115307368</v>
      </c>
    </row>
    <row r="109" spans="5:17" ht="12.75">
      <c r="E109">
        <v>0.99</v>
      </c>
      <c r="F109">
        <f>QLIN*COS(PI()*(E109-0.5))</f>
        <v>0.013978442908383987</v>
      </c>
      <c r="G109">
        <f>+H108+F109/WPIN/Cp*(E109-E108)*LENGTH</f>
        <v>311.0290445814994</v>
      </c>
      <c r="H109">
        <f>IF(G109&gt;Tpsat,Tpsat,G109)</f>
        <v>311</v>
      </c>
      <c r="I109">
        <f t="shared" si="43"/>
        <v>0.04000002329831214</v>
      </c>
      <c r="J109">
        <f>F109/2/PI()/HTCS/RPIN</f>
        <v>0.6680895752544028</v>
      </c>
      <c r="K109">
        <f>F109/2/PI()/KC/(RF+TGAP)*(TGAP+TCLAD)</f>
        <v>3.3181465907344028</v>
      </c>
      <c r="L109">
        <f>F109/2/PI()/HGAP/RF</f>
        <v>3.1850225992801167</v>
      </c>
      <c r="M109">
        <f>F109/4/PI()/KF</f>
        <v>55.61845713992903</v>
      </c>
      <c r="N109">
        <f t="shared" si="40"/>
        <v>373.8297159284962</v>
      </c>
      <c r="O109">
        <f>IF(G109&gt;H109,F109*LENGTH*(E109-E108)/WPIN/hfg,0)</f>
        <v>8.754572437770044E-05</v>
      </c>
      <c r="P109">
        <f t="shared" si="41"/>
        <v>311.6680895752544</v>
      </c>
      <c r="Q109">
        <f t="shared" si="48"/>
        <v>0.26400002795810473</v>
      </c>
    </row>
    <row r="110" spans="5:17" ht="12.75">
      <c r="E110">
        <v>1</v>
      </c>
      <c r="F110">
        <f>QLIN*COS(PI()*(E110-0.5))</f>
        <v>2.7260830737388578E-17</v>
      </c>
      <c r="G110">
        <f>+H109+F110/WPIN/Cp*(E110-E109)*LENGTH</f>
        <v>311</v>
      </c>
      <c r="H110">
        <f>IF(G110&gt;Tpsat,Tpsat,G110)</f>
        <v>311</v>
      </c>
      <c r="I110">
        <f t="shared" si="43"/>
        <v>0.04000002329831214</v>
      </c>
      <c r="J110">
        <f>F110/2/PI()/HTCS/RPIN</f>
        <v>1.3029117010951565E-15</v>
      </c>
      <c r="K110">
        <f>F110/2/PI()/KC/(RF+TGAP)*(TGAP+TCLAD)</f>
        <v>6.4710664245443385E-15</v>
      </c>
      <c r="L110">
        <f>F110/2/PI()/HGAP/RF</f>
        <v>6.211447336645484E-15</v>
      </c>
      <c r="M110">
        <f>F110/4/PI()/KF</f>
        <v>1.0846739911617176E-13</v>
      </c>
      <c r="N110">
        <f t="shared" si="40"/>
        <v>311.04000002329843</v>
      </c>
      <c r="O110">
        <f>IF(G110&gt;H110,F110*LENGTH*(E110-E109)/WPIN/hfg,0)</f>
        <v>0</v>
      </c>
      <c r="P110">
        <f t="shared" si="41"/>
        <v>311</v>
      </c>
      <c r="Q110">
        <f t="shared" si="48"/>
        <v>0.26400002795810473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3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2017-02-09T17:08:54Z</dcterms:created>
  <dcterms:modified xsi:type="dcterms:W3CDTF">2018-01-29T15:35:00Z</dcterms:modified>
  <cp:category/>
  <cp:version/>
  <cp:contentType/>
  <cp:contentStatus/>
</cp:coreProperties>
</file>